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sandeeppande\Desktop\"/>
    </mc:Choice>
  </mc:AlternateContent>
  <xr:revisionPtr revIDLastSave="0" documentId="8_{6772FA46-6698-4FEA-B2CF-29744A377380}" xr6:coauthVersionLast="45" xr6:coauthVersionMax="45" xr10:uidLastSave="{00000000-0000-0000-0000-000000000000}"/>
  <bookViews>
    <workbookView xWindow="-120" yWindow="-120" windowWidth="20730" windowHeight="11160"/>
    <workbookView xWindow="-120" yWindow="-120" windowWidth="20730" windowHeight="11160" firstSheet="2" activeTab="11"/>
  </bookViews>
  <sheets>
    <sheet name="L1" sheetId="19" r:id="rId1"/>
    <sheet name="L2" sheetId="11" r:id="rId2"/>
    <sheet name="L3" sheetId="24" r:id="rId3"/>
    <sheet name="L4" sheetId="5" r:id="rId4"/>
    <sheet name="L5" sheetId="7" r:id="rId5"/>
    <sheet name="L6" sheetId="8" r:id="rId6"/>
    <sheet name="L7" sheetId="6" r:id="rId7"/>
    <sheet name="L10" sheetId="22" r:id="rId8"/>
    <sheet name="L37FPI" sheetId="1" r:id="rId9"/>
    <sheet name="L37Lives" sheetId="2" r:id="rId10"/>
    <sheet name="L38 FPI" sheetId="4" r:id="rId11"/>
    <sheet name="L38 NOP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6" i="24" l="1"/>
  <c r="X66" i="24"/>
  <c r="X67" i="24" s="1"/>
  <c r="X31" i="24"/>
  <c r="Y31" i="24" s="1"/>
  <c r="AA31" i="24" s="1"/>
  <c r="X23" i="24"/>
  <c r="U66" i="24"/>
  <c r="U67" i="24"/>
  <c r="S66" i="24"/>
  <c r="S67" i="24"/>
  <c r="R23" i="24"/>
  <c r="P66" i="24"/>
  <c r="P67" i="24"/>
  <c r="M65" i="24"/>
  <c r="Y65" i="24" s="1"/>
  <c r="AA65" i="24" s="1"/>
  <c r="M60" i="24"/>
  <c r="J66" i="24"/>
  <c r="J67" i="24" s="1"/>
  <c r="J26" i="24"/>
  <c r="Y26" i="24"/>
  <c r="AA26" i="24"/>
  <c r="J17" i="24"/>
  <c r="Y17" i="24"/>
  <c r="AA17" i="24" s="1"/>
  <c r="H66" i="24"/>
  <c r="H67" i="24" s="1"/>
  <c r="G23" i="24"/>
  <c r="E66" i="24"/>
  <c r="Z10" i="24"/>
  <c r="U10" i="24"/>
  <c r="V10" i="24"/>
  <c r="W10" i="24"/>
  <c r="X10" i="24"/>
  <c r="M10" i="24"/>
  <c r="N10" i="24"/>
  <c r="O10" i="24"/>
  <c r="P10" i="24"/>
  <c r="Q10" i="24"/>
  <c r="R10" i="24"/>
  <c r="S10" i="24"/>
  <c r="T10" i="24"/>
  <c r="F10" i="24"/>
  <c r="G10" i="24"/>
  <c r="H10" i="24"/>
  <c r="I10" i="24"/>
  <c r="J10" i="24"/>
  <c r="K10" i="24"/>
  <c r="L10" i="24"/>
  <c r="E10" i="24"/>
  <c r="D23" i="24"/>
  <c r="D19" i="24"/>
  <c r="Y19" i="24" s="1"/>
  <c r="AA19" i="24" s="1"/>
  <c r="D18" i="24"/>
  <c r="D10" i="24"/>
  <c r="Z50" i="24"/>
  <c r="Z47" i="24"/>
  <c r="Q47" i="24"/>
  <c r="R47" i="24"/>
  <c r="R51" i="24" s="1"/>
  <c r="S47" i="24"/>
  <c r="T47" i="24"/>
  <c r="U47" i="24"/>
  <c r="V47" i="24"/>
  <c r="W47" i="24"/>
  <c r="X47" i="24"/>
  <c r="K47" i="24"/>
  <c r="K51" i="24" s="1"/>
  <c r="L47" i="24"/>
  <c r="M47" i="24"/>
  <c r="M51" i="24"/>
  <c r="N47" i="24"/>
  <c r="O47" i="24"/>
  <c r="P47" i="24"/>
  <c r="P51" i="24" s="1"/>
  <c r="E47" i="24"/>
  <c r="F47" i="24"/>
  <c r="F51" i="24"/>
  <c r="G47" i="24"/>
  <c r="H47" i="24"/>
  <c r="I47" i="24"/>
  <c r="I51" i="24"/>
  <c r="J47" i="24"/>
  <c r="J51" i="24" s="1"/>
  <c r="D47" i="24"/>
  <c r="Z67" i="24"/>
  <c r="T67" i="24"/>
  <c r="V67" i="24"/>
  <c r="W67" i="24"/>
  <c r="K67" i="24"/>
  <c r="L67" i="24"/>
  <c r="N67" i="24"/>
  <c r="O67" i="24"/>
  <c r="Q67" i="24"/>
  <c r="R67" i="24"/>
  <c r="G67" i="24"/>
  <c r="I67" i="24"/>
  <c r="F67" i="24"/>
  <c r="D67" i="24"/>
  <c r="B67" i="24"/>
  <c r="B10" i="24"/>
  <c r="AA32" i="19"/>
  <c r="AA19" i="19"/>
  <c r="Y37" i="19"/>
  <c r="Y19" i="19"/>
  <c r="Y8" i="19"/>
  <c r="X8" i="19"/>
  <c r="W8" i="19"/>
  <c r="V8" i="19"/>
  <c r="T37" i="19"/>
  <c r="T8" i="19"/>
  <c r="S37" i="19"/>
  <c r="S19" i="19"/>
  <c r="S8" i="19"/>
  <c r="R55" i="19"/>
  <c r="Z55" i="19"/>
  <c r="AB55" i="19"/>
  <c r="R8" i="19"/>
  <c r="Q19" i="19"/>
  <c r="Q8" i="19"/>
  <c r="P8" i="19"/>
  <c r="O8" i="19"/>
  <c r="N19" i="19"/>
  <c r="N8" i="19"/>
  <c r="M56" i="19"/>
  <c r="M35" i="19"/>
  <c r="Z35" i="19"/>
  <c r="AB35" i="19" s="1"/>
  <c r="M8" i="19"/>
  <c r="L56" i="19"/>
  <c r="L37" i="19"/>
  <c r="L19" i="19"/>
  <c r="L8" i="19"/>
  <c r="K8" i="19"/>
  <c r="J8" i="19"/>
  <c r="I8" i="19"/>
  <c r="H8" i="19"/>
  <c r="G8" i="19"/>
  <c r="E19" i="19"/>
  <c r="C8" i="19"/>
  <c r="W50" i="24"/>
  <c r="X50" i="24"/>
  <c r="M50" i="24"/>
  <c r="N50" i="24"/>
  <c r="O50" i="24"/>
  <c r="P50" i="24"/>
  <c r="Q50" i="24"/>
  <c r="R50" i="24"/>
  <c r="S50" i="24"/>
  <c r="S51" i="24" s="1"/>
  <c r="T50" i="24"/>
  <c r="U50" i="24"/>
  <c r="V50" i="24"/>
  <c r="T51" i="24"/>
  <c r="C51" i="24"/>
  <c r="C50" i="24"/>
  <c r="D50" i="24"/>
  <c r="E50" i="24"/>
  <c r="F50" i="24"/>
  <c r="G50" i="24"/>
  <c r="H50" i="24"/>
  <c r="H51" i="24" s="1"/>
  <c r="I50" i="24"/>
  <c r="J50" i="24"/>
  <c r="K50" i="24"/>
  <c r="L50" i="24"/>
  <c r="B50" i="24"/>
  <c r="Y64" i="24"/>
  <c r="AA64" i="24"/>
  <c r="Y63" i="24"/>
  <c r="AA63" i="24" s="1"/>
  <c r="Y62" i="24"/>
  <c r="AA62" i="24" s="1"/>
  <c r="Y61" i="24"/>
  <c r="AA61" i="24" s="1"/>
  <c r="Y60" i="24"/>
  <c r="AA60" i="24"/>
  <c r="Y59" i="24"/>
  <c r="AA59" i="24" s="1"/>
  <c r="Y58" i="24"/>
  <c r="AA58" i="24" s="1"/>
  <c r="Y57" i="24"/>
  <c r="AA57" i="24" s="1"/>
  <c r="Y55" i="24"/>
  <c r="AA55" i="24"/>
  <c r="Y54" i="24"/>
  <c r="AA54" i="24" s="1"/>
  <c r="Y53" i="24"/>
  <c r="AA53" i="24" s="1"/>
  <c r="Y52" i="24"/>
  <c r="AA52" i="24" s="1"/>
  <c r="Y49" i="24"/>
  <c r="AA49" i="24"/>
  <c r="Y48" i="24"/>
  <c r="AA48" i="24" s="1"/>
  <c r="Y46" i="24"/>
  <c r="AA46" i="24" s="1"/>
  <c r="Y45" i="24"/>
  <c r="AA45" i="24" s="1"/>
  <c r="Y44" i="24"/>
  <c r="AA44" i="24" s="1"/>
  <c r="Y43" i="24"/>
  <c r="AA43" i="24" s="1"/>
  <c r="Y42" i="24"/>
  <c r="AA42" i="24" s="1"/>
  <c r="Y41" i="24"/>
  <c r="AA41" i="24" s="1"/>
  <c r="Y40" i="24"/>
  <c r="AA40" i="24" s="1"/>
  <c r="Y39" i="24"/>
  <c r="AA39" i="24" s="1"/>
  <c r="Y38" i="24"/>
  <c r="AA38" i="24" s="1"/>
  <c r="Y37" i="24"/>
  <c r="AA37" i="24" s="1"/>
  <c r="Y36" i="24"/>
  <c r="AA36" i="24" s="1"/>
  <c r="Y35" i="24"/>
  <c r="AA35" i="24" s="1"/>
  <c r="Y33" i="24"/>
  <c r="AA33" i="24" s="1"/>
  <c r="Y32" i="24"/>
  <c r="AA32" i="24" s="1"/>
  <c r="Y30" i="24"/>
  <c r="AA30" i="24" s="1"/>
  <c r="Y29" i="24"/>
  <c r="AA29" i="24" s="1"/>
  <c r="Y28" i="24"/>
  <c r="AA28" i="24" s="1"/>
  <c r="Y25" i="24"/>
  <c r="AA25" i="24" s="1"/>
  <c r="Y24" i="24"/>
  <c r="AA24" i="24" s="1"/>
  <c r="Y22" i="24"/>
  <c r="AA22" i="24" s="1"/>
  <c r="Y21" i="24"/>
  <c r="AA21" i="24" s="1"/>
  <c r="Y20" i="24"/>
  <c r="AA20" i="24" s="1"/>
  <c r="Y16" i="24"/>
  <c r="AA16" i="24" s="1"/>
  <c r="Y15" i="24"/>
  <c r="AA15" i="24" s="1"/>
  <c r="Y14" i="24"/>
  <c r="AA14" i="24" s="1"/>
  <c r="Y13" i="24"/>
  <c r="AA13" i="24" s="1"/>
  <c r="Y12" i="24"/>
  <c r="AA12" i="24" s="1"/>
  <c r="Y11" i="24"/>
  <c r="AA11" i="24" s="1"/>
  <c r="Y8" i="24"/>
  <c r="AA8" i="24" s="1"/>
  <c r="Y7" i="24"/>
  <c r="AA7" i="24" s="1"/>
  <c r="Y6" i="24"/>
  <c r="AA6" i="24" s="1"/>
  <c r="Y5" i="24"/>
  <c r="AA5" i="24" s="1"/>
  <c r="Z5" i="19"/>
  <c r="AB5" i="19"/>
  <c r="Z6" i="19"/>
  <c r="AB6" i="19" s="1"/>
  <c r="Z7" i="19"/>
  <c r="AB7" i="19" s="1"/>
  <c r="Z9" i="19"/>
  <c r="AB9" i="19" s="1"/>
  <c r="Z10" i="19"/>
  <c r="AB10" i="19"/>
  <c r="Z11" i="19"/>
  <c r="AB11" i="19" s="1"/>
  <c r="Z12" i="19"/>
  <c r="AB12" i="19" s="1"/>
  <c r="Z13" i="19"/>
  <c r="AB13" i="19" s="1"/>
  <c r="Z14" i="19"/>
  <c r="AB14" i="19"/>
  <c r="Z16" i="19"/>
  <c r="AB16" i="19" s="1"/>
  <c r="Z17" i="19"/>
  <c r="AB17" i="19" s="1"/>
  <c r="Z18" i="19"/>
  <c r="AB18" i="19" s="1"/>
  <c r="Z20" i="19"/>
  <c r="AB20" i="19"/>
  <c r="Z21" i="19"/>
  <c r="AB21" i="19" s="1"/>
  <c r="Z22" i="19"/>
  <c r="AB22" i="19" s="1"/>
  <c r="Z23" i="19"/>
  <c r="AB23" i="19" s="1"/>
  <c r="Z24" i="19"/>
  <c r="AB24" i="19"/>
  <c r="Z25" i="19"/>
  <c r="AB25" i="19" s="1"/>
  <c r="Z26" i="19"/>
  <c r="AB26" i="19" s="1"/>
  <c r="Z27" i="19"/>
  <c r="AB27" i="19" s="1"/>
  <c r="Z28" i="19"/>
  <c r="AB28" i="19"/>
  <c r="Z29" i="19"/>
  <c r="AB29" i="19" s="1"/>
  <c r="Z30" i="19"/>
  <c r="AB30" i="19" s="1"/>
  <c r="Z31" i="19"/>
  <c r="AB31" i="19" s="1"/>
  <c r="Z32" i="19"/>
  <c r="Z33" i="19"/>
  <c r="AB33" i="19"/>
  <c r="Z34" i="19"/>
  <c r="AB34" i="19" s="1"/>
  <c r="Z36" i="19"/>
  <c r="AB36" i="19"/>
  <c r="Z38" i="19"/>
  <c r="AB38" i="19"/>
  <c r="Z39" i="19"/>
  <c r="AB39" i="19" s="1"/>
  <c r="Z40" i="19"/>
  <c r="AB40" i="19" s="1"/>
  <c r="Z41" i="19"/>
  <c r="AB41" i="19"/>
  <c r="Z42" i="19"/>
  <c r="AB42" i="19"/>
  <c r="Z43" i="19"/>
  <c r="AB43" i="19" s="1"/>
  <c r="Z44" i="19"/>
  <c r="AB44" i="19" s="1"/>
  <c r="Z45" i="19"/>
  <c r="AB45" i="19"/>
  <c r="Z46" i="19"/>
  <c r="AB46" i="19"/>
  <c r="Z47" i="19"/>
  <c r="AB47" i="19"/>
  <c r="Z49" i="19"/>
  <c r="AB49" i="19" s="1"/>
  <c r="Z50" i="19"/>
  <c r="AB50" i="19"/>
  <c r="Z51" i="19"/>
  <c r="AB51" i="19"/>
  <c r="Z52" i="19"/>
  <c r="AB52" i="19"/>
  <c r="Z53" i="19"/>
  <c r="AB53" i="19" s="1"/>
  <c r="Z54" i="19"/>
  <c r="AB54" i="19"/>
  <c r="Z57" i="19"/>
  <c r="AB57" i="19"/>
  <c r="Z58" i="19"/>
  <c r="AB58" i="19" s="1"/>
  <c r="Z59" i="19"/>
  <c r="AB59" i="19" s="1"/>
  <c r="AY16" i="3"/>
  <c r="AY18" i="3"/>
  <c r="AY15" i="6"/>
  <c r="AY34" i="6"/>
  <c r="AY36" i="6"/>
  <c r="AY38" i="6" s="1"/>
  <c r="AX15" i="6"/>
  <c r="AX34" i="6" s="1"/>
  <c r="AX36" i="6" s="1"/>
  <c r="AX38" i="6" s="1"/>
  <c r="AY36" i="8"/>
  <c r="AX36" i="8"/>
  <c r="AX9" i="7"/>
  <c r="AY9" i="7"/>
  <c r="K33" i="8"/>
  <c r="J33" i="8"/>
  <c r="U31" i="11"/>
  <c r="U39" i="11"/>
  <c r="T31" i="11"/>
  <c r="T39" i="11"/>
  <c r="U22" i="6"/>
  <c r="T22" i="6"/>
  <c r="AU10" i="6"/>
  <c r="AW10" i="6" s="1"/>
  <c r="BA10" i="6" s="1"/>
  <c r="AT10" i="6"/>
  <c r="AV10" i="6" s="1"/>
  <c r="AZ10" i="6" s="1"/>
  <c r="AU28" i="8"/>
  <c r="AW28" i="8" s="1"/>
  <c r="AT28" i="8"/>
  <c r="AU31" i="8"/>
  <c r="AT31" i="8"/>
  <c r="Y6" i="22"/>
  <c r="AA6" i="22"/>
  <c r="Y7" i="22"/>
  <c r="AA7" i="22" s="1"/>
  <c r="Y8" i="22"/>
  <c r="AA8" i="22" s="1"/>
  <c r="Y9" i="22"/>
  <c r="AA9" i="22"/>
  <c r="Y10" i="22"/>
  <c r="AA10" i="22"/>
  <c r="Y11" i="22"/>
  <c r="AA11" i="22"/>
  <c r="Y12" i="22"/>
  <c r="AA12" i="22" s="1"/>
  <c r="Y13" i="22"/>
  <c r="AA13" i="22"/>
  <c r="Y5" i="22"/>
  <c r="AA5" i="22"/>
  <c r="I8" i="8"/>
  <c r="H8" i="8"/>
  <c r="H25" i="7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Z14" i="22"/>
  <c r="C14" i="22"/>
  <c r="D14" i="22"/>
  <c r="E14" i="22"/>
  <c r="B14" i="22"/>
  <c r="AG26" i="8"/>
  <c r="AG33" i="8"/>
  <c r="AG36" i="8"/>
  <c r="AF33" i="8"/>
  <c r="AF36" i="8"/>
  <c r="AF26" i="8"/>
  <c r="AG18" i="11"/>
  <c r="AG26" i="11" s="1"/>
  <c r="AF18" i="11"/>
  <c r="AV18" i="11" s="1"/>
  <c r="AZ18" i="11" s="1"/>
  <c r="AG10" i="11"/>
  <c r="AG12" i="11"/>
  <c r="AF10" i="11"/>
  <c r="AV10" i="11"/>
  <c r="AZ10" i="11" s="1"/>
  <c r="M31" i="11"/>
  <c r="M39" i="11" s="1"/>
  <c r="L31" i="11"/>
  <c r="L21" i="11"/>
  <c r="L26" i="11"/>
  <c r="L5" i="11"/>
  <c r="M5" i="11" s="1"/>
  <c r="AV6" i="2"/>
  <c r="AZ6" i="2" s="1"/>
  <c r="AW6" i="2"/>
  <c r="BA6" i="2"/>
  <c r="AV7" i="2"/>
  <c r="AZ7" i="2"/>
  <c r="AW7" i="2"/>
  <c r="BA7" i="2" s="1"/>
  <c r="AV8" i="2"/>
  <c r="AZ8" i="2" s="1"/>
  <c r="AW8" i="2"/>
  <c r="BA8" i="2"/>
  <c r="AV9" i="2"/>
  <c r="AZ9" i="2"/>
  <c r="AW9" i="2"/>
  <c r="AV10" i="2"/>
  <c r="AZ10" i="2" s="1"/>
  <c r="AW10" i="2"/>
  <c r="AV11" i="2"/>
  <c r="AZ11" i="2"/>
  <c r="AW11" i="2"/>
  <c r="AV13" i="2"/>
  <c r="AZ13" i="2"/>
  <c r="AW13" i="2"/>
  <c r="BA13" i="2" s="1"/>
  <c r="AV5" i="2"/>
  <c r="AZ5" i="2" s="1"/>
  <c r="AW5" i="2"/>
  <c r="BA5" i="2" s="1"/>
  <c r="AW6" i="1"/>
  <c r="BA6" i="1"/>
  <c r="AW7" i="1"/>
  <c r="BA7" i="1" s="1"/>
  <c r="AW8" i="1"/>
  <c r="BA8" i="1" s="1"/>
  <c r="AW9" i="1"/>
  <c r="BA9" i="1" s="1"/>
  <c r="AW10" i="1"/>
  <c r="BA10" i="1"/>
  <c r="AW11" i="1"/>
  <c r="AW13" i="1"/>
  <c r="AV6" i="1"/>
  <c r="AV7" i="1"/>
  <c r="AZ7" i="1"/>
  <c r="AV8" i="1"/>
  <c r="AZ8" i="1"/>
  <c r="AV9" i="1"/>
  <c r="AZ9" i="1" s="1"/>
  <c r="AV10" i="1"/>
  <c r="AZ10" i="1" s="1"/>
  <c r="AV11" i="1"/>
  <c r="AZ11" i="1"/>
  <c r="AV13" i="1"/>
  <c r="AZ13" i="1"/>
  <c r="AW5" i="1"/>
  <c r="BA5" i="1"/>
  <c r="AV5" i="1"/>
  <c r="AZ5" i="1" s="1"/>
  <c r="AR21" i="11"/>
  <c r="AR26" i="11"/>
  <c r="AS21" i="11"/>
  <c r="AS26" i="11"/>
  <c r="X10" i="5"/>
  <c r="AK8" i="8"/>
  <c r="AJ8" i="8"/>
  <c r="AE36" i="8"/>
  <c r="AD36" i="8"/>
  <c r="Y32" i="8"/>
  <c r="AW32" i="8" s="1"/>
  <c r="BA32" i="8" s="1"/>
  <c r="X32" i="8"/>
  <c r="AV32" i="8" s="1"/>
  <c r="AZ32" i="8" s="1"/>
  <c r="S36" i="8"/>
  <c r="S26" i="8"/>
  <c r="S12" i="8"/>
  <c r="AW12" i="8" s="1"/>
  <c r="BA12" i="8" s="1"/>
  <c r="R12" i="8"/>
  <c r="AV12" i="8" s="1"/>
  <c r="AZ12" i="8" s="1"/>
  <c r="R36" i="8"/>
  <c r="R26" i="8"/>
  <c r="O36" i="8"/>
  <c r="N36" i="8"/>
  <c r="AS22" i="6"/>
  <c r="AS34" i="6"/>
  <c r="AS36" i="6" s="1"/>
  <c r="AS38" i="6" s="1"/>
  <c r="AR22" i="6"/>
  <c r="AR34" i="6"/>
  <c r="AR36" i="6"/>
  <c r="AR38" i="6" s="1"/>
  <c r="X38" i="6"/>
  <c r="AB12" i="2"/>
  <c r="AB14" i="2"/>
  <c r="AC12" i="2"/>
  <c r="AC14" i="2" s="1"/>
  <c r="AB12" i="1"/>
  <c r="AB14" i="1"/>
  <c r="AC12" i="1"/>
  <c r="AC14" i="1"/>
  <c r="AA36" i="8"/>
  <c r="AA9" i="8"/>
  <c r="AW9" i="8" s="1"/>
  <c r="BA9" i="8" s="1"/>
  <c r="Z9" i="8"/>
  <c r="AV9" i="8"/>
  <c r="AZ9" i="8" s="1"/>
  <c r="Z36" i="8"/>
  <c r="AC9" i="7"/>
  <c r="AC12" i="7"/>
  <c r="AX16" i="3"/>
  <c r="AX18" i="3" s="1"/>
  <c r="B16" i="3"/>
  <c r="B18" i="3"/>
  <c r="C16" i="3"/>
  <c r="C18" i="3"/>
  <c r="D16" i="3"/>
  <c r="D18" i="3" s="1"/>
  <c r="E16" i="3"/>
  <c r="E18" i="3" s="1"/>
  <c r="F16" i="3"/>
  <c r="F18" i="3"/>
  <c r="G16" i="3"/>
  <c r="G18" i="3"/>
  <c r="H16" i="3"/>
  <c r="H18" i="3" s="1"/>
  <c r="I16" i="3"/>
  <c r="I18" i="3" s="1"/>
  <c r="J16" i="3"/>
  <c r="J18" i="3"/>
  <c r="K16" i="3"/>
  <c r="K18" i="3"/>
  <c r="L16" i="3"/>
  <c r="L18" i="3"/>
  <c r="M16" i="3"/>
  <c r="M18" i="3" s="1"/>
  <c r="N16" i="3"/>
  <c r="N18" i="3"/>
  <c r="O16" i="3"/>
  <c r="O18" i="3"/>
  <c r="P16" i="3"/>
  <c r="P18" i="3"/>
  <c r="Q16" i="3"/>
  <c r="Q18" i="3" s="1"/>
  <c r="R16" i="3"/>
  <c r="R18" i="3"/>
  <c r="S16" i="3"/>
  <c r="S18" i="3"/>
  <c r="T16" i="3"/>
  <c r="T18" i="3" s="1"/>
  <c r="U16" i="3"/>
  <c r="U18" i="3" s="1"/>
  <c r="V16" i="3"/>
  <c r="V18" i="3"/>
  <c r="W16" i="3"/>
  <c r="W18" i="3"/>
  <c r="X16" i="3"/>
  <c r="X18" i="3" s="1"/>
  <c r="Y16" i="3"/>
  <c r="Y18" i="3" s="1"/>
  <c r="Z16" i="3"/>
  <c r="Z18" i="3"/>
  <c r="AA16" i="3"/>
  <c r="AA18" i="3"/>
  <c r="AB16" i="3"/>
  <c r="AB18" i="3"/>
  <c r="AC16" i="3"/>
  <c r="AC18" i="3" s="1"/>
  <c r="AD16" i="3"/>
  <c r="AD18" i="3"/>
  <c r="AE16" i="3"/>
  <c r="AE18" i="3"/>
  <c r="AF16" i="3"/>
  <c r="AF18" i="3"/>
  <c r="AG16" i="3"/>
  <c r="AG18" i="3" s="1"/>
  <c r="AW18" i="3" s="1"/>
  <c r="BA18" i="3" s="1"/>
  <c r="AH16" i="3"/>
  <c r="AH18" i="3"/>
  <c r="AI16" i="3"/>
  <c r="AI18" i="3"/>
  <c r="AJ16" i="3"/>
  <c r="AJ18" i="3" s="1"/>
  <c r="AK16" i="3"/>
  <c r="AK18" i="3" s="1"/>
  <c r="AL16" i="3"/>
  <c r="AL18" i="3"/>
  <c r="AM16" i="3"/>
  <c r="AM18" i="3"/>
  <c r="AN16" i="3"/>
  <c r="AN18" i="3" s="1"/>
  <c r="AO16" i="3"/>
  <c r="AO18" i="3" s="1"/>
  <c r="AP16" i="3"/>
  <c r="AP18" i="3"/>
  <c r="AQ16" i="3"/>
  <c r="AQ18" i="3"/>
  <c r="AR16" i="3"/>
  <c r="AR18" i="3"/>
  <c r="AS16" i="3"/>
  <c r="AS18" i="3" s="1"/>
  <c r="AT16" i="3"/>
  <c r="AT18" i="3"/>
  <c r="AU16" i="3"/>
  <c r="AU18" i="3"/>
  <c r="AX16" i="4"/>
  <c r="AX18" i="4"/>
  <c r="AY16" i="4"/>
  <c r="AY18" i="4" s="1"/>
  <c r="B16" i="4"/>
  <c r="B18" i="4"/>
  <c r="C16" i="4"/>
  <c r="C18" i="4"/>
  <c r="D16" i="4"/>
  <c r="D18" i="4" s="1"/>
  <c r="E16" i="4"/>
  <c r="E18" i="4" s="1"/>
  <c r="F16" i="4"/>
  <c r="F18" i="4"/>
  <c r="G16" i="4"/>
  <c r="G18" i="4"/>
  <c r="H16" i="4"/>
  <c r="H18" i="4" s="1"/>
  <c r="I16" i="4"/>
  <c r="I18" i="4" s="1"/>
  <c r="J16" i="4"/>
  <c r="J18" i="4"/>
  <c r="K16" i="4"/>
  <c r="K18" i="4"/>
  <c r="L16" i="4"/>
  <c r="L18" i="4"/>
  <c r="M16" i="4"/>
  <c r="M18" i="4" s="1"/>
  <c r="N16" i="4"/>
  <c r="N18" i="4"/>
  <c r="O16" i="4"/>
  <c r="O18" i="4"/>
  <c r="P16" i="4"/>
  <c r="P18" i="4"/>
  <c r="Q16" i="4"/>
  <c r="Q18" i="4" s="1"/>
  <c r="R16" i="4"/>
  <c r="R18" i="4"/>
  <c r="S16" i="4"/>
  <c r="S18" i="4"/>
  <c r="T16" i="4"/>
  <c r="T18" i="4" s="1"/>
  <c r="U16" i="4"/>
  <c r="U18" i="4" s="1"/>
  <c r="V16" i="4"/>
  <c r="V18" i="4"/>
  <c r="W16" i="4"/>
  <c r="W18" i="4"/>
  <c r="X16" i="4"/>
  <c r="X18" i="4" s="1"/>
  <c r="Y16" i="4"/>
  <c r="Y18" i="4" s="1"/>
  <c r="Z16" i="4"/>
  <c r="Z18" i="4"/>
  <c r="AA16" i="4"/>
  <c r="AA18" i="4"/>
  <c r="AB16" i="4"/>
  <c r="AB18" i="4"/>
  <c r="AC16" i="4"/>
  <c r="AC18" i="4" s="1"/>
  <c r="AD16" i="4"/>
  <c r="AD18" i="4"/>
  <c r="AE16" i="4"/>
  <c r="AE18" i="4"/>
  <c r="AF16" i="4"/>
  <c r="AF18" i="4"/>
  <c r="AG16" i="4"/>
  <c r="AG18" i="4" s="1"/>
  <c r="AH16" i="4"/>
  <c r="AH18" i="4"/>
  <c r="AI16" i="4"/>
  <c r="AI18" i="4"/>
  <c r="AJ16" i="4"/>
  <c r="AJ18" i="4" s="1"/>
  <c r="AK16" i="4"/>
  <c r="AK18" i="4" s="1"/>
  <c r="AL16" i="4"/>
  <c r="AL18" i="4"/>
  <c r="AM16" i="4"/>
  <c r="AM18" i="4"/>
  <c r="AN16" i="4"/>
  <c r="AN18" i="4" s="1"/>
  <c r="AO16" i="4"/>
  <c r="AO18" i="4" s="1"/>
  <c r="AP16" i="4"/>
  <c r="AP18" i="4"/>
  <c r="AQ16" i="4"/>
  <c r="AQ18" i="4"/>
  <c r="AR16" i="4"/>
  <c r="AR18" i="4"/>
  <c r="AS16" i="4"/>
  <c r="AS18" i="4" s="1"/>
  <c r="AT16" i="4"/>
  <c r="AT18" i="4"/>
  <c r="AU16" i="4"/>
  <c r="AU18" i="4"/>
  <c r="AX12" i="2"/>
  <c r="AX14" i="2"/>
  <c r="AY12" i="2"/>
  <c r="AY14" i="2" s="1"/>
  <c r="B12" i="2"/>
  <c r="B14" i="2"/>
  <c r="C12" i="2"/>
  <c r="D12" i="2"/>
  <c r="D14" i="2"/>
  <c r="E12" i="2"/>
  <c r="E14" i="2" s="1"/>
  <c r="F12" i="2"/>
  <c r="F14" i="2" s="1"/>
  <c r="G12" i="2"/>
  <c r="G14" i="2" s="1"/>
  <c r="H12" i="2"/>
  <c r="H14" i="2"/>
  <c r="I12" i="2"/>
  <c r="I14" i="2" s="1"/>
  <c r="J12" i="2"/>
  <c r="J14" i="2" s="1"/>
  <c r="K12" i="2"/>
  <c r="K14" i="2" s="1"/>
  <c r="L12" i="2"/>
  <c r="L14" i="2"/>
  <c r="M12" i="2"/>
  <c r="M14" i="2" s="1"/>
  <c r="N12" i="2"/>
  <c r="N14" i="2" s="1"/>
  <c r="O12" i="2"/>
  <c r="O14" i="2" s="1"/>
  <c r="R12" i="2"/>
  <c r="R14" i="2"/>
  <c r="S12" i="2"/>
  <c r="S14" i="2" s="1"/>
  <c r="T12" i="2"/>
  <c r="T14" i="2" s="1"/>
  <c r="U12" i="2"/>
  <c r="U14" i="2" s="1"/>
  <c r="V12" i="2"/>
  <c r="V14" i="2"/>
  <c r="W12" i="2"/>
  <c r="W14" i="2" s="1"/>
  <c r="X12" i="2"/>
  <c r="X14" i="2" s="1"/>
  <c r="Y12" i="2"/>
  <c r="Y14" i="2" s="1"/>
  <c r="Z12" i="2"/>
  <c r="Z14" i="2"/>
  <c r="AA12" i="2"/>
  <c r="AA14" i="2" s="1"/>
  <c r="P12" i="2"/>
  <c r="P14" i="2" s="1"/>
  <c r="AV14" i="2" s="1"/>
  <c r="AZ14" i="2" s="1"/>
  <c r="Q12" i="2"/>
  <c r="Q14" i="2" s="1"/>
  <c r="AD12" i="2"/>
  <c r="AD14" i="2"/>
  <c r="AE12" i="2"/>
  <c r="AE14" i="2" s="1"/>
  <c r="AF12" i="2"/>
  <c r="AF14" i="2" s="1"/>
  <c r="AG12" i="2"/>
  <c r="AG14" i="2" s="1"/>
  <c r="AH12" i="2"/>
  <c r="AH14" i="2"/>
  <c r="AI12" i="2"/>
  <c r="AI14" i="2" s="1"/>
  <c r="AJ12" i="2"/>
  <c r="AJ14" i="2" s="1"/>
  <c r="AK12" i="2"/>
  <c r="AK14" i="2" s="1"/>
  <c r="AL12" i="2"/>
  <c r="AL14" i="2"/>
  <c r="AM12" i="2"/>
  <c r="AM14" i="2" s="1"/>
  <c r="AN12" i="2"/>
  <c r="AN14" i="2" s="1"/>
  <c r="AO12" i="2"/>
  <c r="AO14" i="2" s="1"/>
  <c r="AP12" i="2"/>
  <c r="AP14" i="2"/>
  <c r="AQ12" i="2"/>
  <c r="AQ14" i="2" s="1"/>
  <c r="AR12" i="2"/>
  <c r="AR14" i="2" s="1"/>
  <c r="AS12" i="2"/>
  <c r="AS14" i="2" s="1"/>
  <c r="AT12" i="2"/>
  <c r="AT14" i="2"/>
  <c r="AU12" i="2"/>
  <c r="AU14" i="2" s="1"/>
  <c r="AX12" i="1"/>
  <c r="AX14" i="1" s="1"/>
  <c r="AY12" i="1"/>
  <c r="AY14" i="1" s="1"/>
  <c r="D12" i="1"/>
  <c r="D14" i="1"/>
  <c r="E12" i="1"/>
  <c r="E14" i="1" s="1"/>
  <c r="F12" i="1"/>
  <c r="F14" i="1" s="1"/>
  <c r="G12" i="1"/>
  <c r="G14" i="1" s="1"/>
  <c r="H12" i="1"/>
  <c r="H14" i="1"/>
  <c r="I12" i="1"/>
  <c r="I14" i="1" s="1"/>
  <c r="J12" i="1"/>
  <c r="J14" i="1" s="1"/>
  <c r="K12" i="1"/>
  <c r="K14" i="1" s="1"/>
  <c r="L12" i="1"/>
  <c r="L14" i="1"/>
  <c r="M12" i="1"/>
  <c r="M14" i="1" s="1"/>
  <c r="N12" i="1"/>
  <c r="N14" i="1" s="1"/>
  <c r="O12" i="1"/>
  <c r="O14" i="1" s="1"/>
  <c r="R12" i="1"/>
  <c r="R14" i="1"/>
  <c r="S12" i="1"/>
  <c r="S14" i="1" s="1"/>
  <c r="T12" i="1"/>
  <c r="T14" i="1" s="1"/>
  <c r="U12" i="1"/>
  <c r="U14" i="1" s="1"/>
  <c r="V12" i="1"/>
  <c r="V14" i="1"/>
  <c r="W12" i="1"/>
  <c r="W14" i="1" s="1"/>
  <c r="X12" i="1"/>
  <c r="X14" i="1" s="1"/>
  <c r="Y12" i="1"/>
  <c r="Y14" i="1" s="1"/>
  <c r="Z12" i="1"/>
  <c r="Z14" i="1"/>
  <c r="AA12" i="1"/>
  <c r="AA14" i="1" s="1"/>
  <c r="P12" i="1"/>
  <c r="P14" i="1" s="1"/>
  <c r="Q12" i="1"/>
  <c r="Q14" i="1" s="1"/>
  <c r="AW14" i="1" s="1"/>
  <c r="BA14" i="1" s="1"/>
  <c r="AD12" i="1"/>
  <c r="AD14" i="1"/>
  <c r="AE12" i="1"/>
  <c r="AE14" i="1" s="1"/>
  <c r="AF12" i="1"/>
  <c r="AF14" i="1" s="1"/>
  <c r="AG12" i="1"/>
  <c r="AG14" i="1" s="1"/>
  <c r="AH12" i="1"/>
  <c r="AH14" i="1"/>
  <c r="AI12" i="1"/>
  <c r="AI14" i="1" s="1"/>
  <c r="AJ12" i="1"/>
  <c r="AJ14" i="1" s="1"/>
  <c r="AK12" i="1"/>
  <c r="AK14" i="1" s="1"/>
  <c r="AL12" i="1"/>
  <c r="AL14" i="1"/>
  <c r="AM12" i="1"/>
  <c r="AM14" i="1" s="1"/>
  <c r="AN12" i="1"/>
  <c r="AN14" i="1" s="1"/>
  <c r="AO12" i="1"/>
  <c r="AO14" i="1" s="1"/>
  <c r="AP12" i="1"/>
  <c r="AP14" i="1"/>
  <c r="AQ12" i="1"/>
  <c r="AQ14" i="1" s="1"/>
  <c r="AR12" i="1"/>
  <c r="AR14" i="1" s="1"/>
  <c r="AS12" i="1"/>
  <c r="AS14" i="1" s="1"/>
  <c r="AT12" i="1"/>
  <c r="AT14" i="1"/>
  <c r="AU12" i="1"/>
  <c r="AU14" i="1" s="1"/>
  <c r="B12" i="1"/>
  <c r="B14" i="1" s="1"/>
  <c r="C12" i="1"/>
  <c r="C14" i="1" s="1"/>
  <c r="AU34" i="6"/>
  <c r="AU36" i="6"/>
  <c r="AU38" i="6"/>
  <c r="AP34" i="6"/>
  <c r="AP36" i="6"/>
  <c r="AP38" i="6" s="1"/>
  <c r="AQ34" i="6"/>
  <c r="AQ36" i="6" s="1"/>
  <c r="AQ38" i="6" s="1"/>
  <c r="AL34" i="6"/>
  <c r="AV34" i="6" s="1"/>
  <c r="AZ34" i="6" s="1"/>
  <c r="AM34" i="6"/>
  <c r="AN34" i="6"/>
  <c r="AN36" i="6" s="1"/>
  <c r="AN38" i="6" s="1"/>
  <c r="AO34" i="6"/>
  <c r="AO36" i="6" s="1"/>
  <c r="AO38" i="6" s="1"/>
  <c r="AN25" i="7"/>
  <c r="M9" i="7"/>
  <c r="M12" i="7" s="1"/>
  <c r="AN9" i="7"/>
  <c r="AN12" i="7" s="1"/>
  <c r="AO9" i="7"/>
  <c r="AO12" i="7" s="1"/>
  <c r="AP9" i="7"/>
  <c r="AP12" i="7"/>
  <c r="B9" i="7"/>
  <c r="B12" i="7" s="1"/>
  <c r="C9" i="7"/>
  <c r="C12" i="7" s="1"/>
  <c r="AX10" i="5"/>
  <c r="AX14" i="5" s="1"/>
  <c r="AY10" i="5"/>
  <c r="AY14" i="5"/>
  <c r="H10" i="5"/>
  <c r="H14" i="5" s="1"/>
  <c r="I10" i="5"/>
  <c r="J10" i="5"/>
  <c r="J12" i="5"/>
  <c r="K10" i="5"/>
  <c r="K12" i="5"/>
  <c r="L10" i="5"/>
  <c r="L12" i="5" s="1"/>
  <c r="M10" i="5"/>
  <c r="M12" i="5" s="1"/>
  <c r="N10" i="5"/>
  <c r="N12" i="5"/>
  <c r="O10" i="5"/>
  <c r="O12" i="5" s="1"/>
  <c r="P10" i="5"/>
  <c r="P12" i="5"/>
  <c r="Q10" i="5"/>
  <c r="Q12" i="5" s="1"/>
  <c r="R10" i="5"/>
  <c r="R14" i="5" s="1"/>
  <c r="S10" i="5"/>
  <c r="S14" i="5" s="1"/>
  <c r="T10" i="5"/>
  <c r="T14" i="5" s="1"/>
  <c r="U10" i="5"/>
  <c r="U14" i="5" s="1"/>
  <c r="V10" i="5"/>
  <c r="V12" i="5" s="1"/>
  <c r="W10" i="5"/>
  <c r="W14" i="5" s="1"/>
  <c r="Y10" i="5"/>
  <c r="Y12" i="5" s="1"/>
  <c r="Z10" i="5"/>
  <c r="Z12" i="5" s="1"/>
  <c r="AA10" i="5"/>
  <c r="AA14" i="5" s="1"/>
  <c r="AB10" i="5"/>
  <c r="AB14" i="5" s="1"/>
  <c r="AC10" i="5"/>
  <c r="AC12" i="5"/>
  <c r="AD10" i="5"/>
  <c r="AD14" i="5" s="1"/>
  <c r="AE10" i="5"/>
  <c r="AE12" i="5" s="1"/>
  <c r="AF10" i="5"/>
  <c r="AF12" i="5" s="1"/>
  <c r="AG10" i="5"/>
  <c r="AG14" i="5"/>
  <c r="AH10" i="5"/>
  <c r="AH12" i="5" s="1"/>
  <c r="AI10" i="5"/>
  <c r="AI14" i="5" s="1"/>
  <c r="AJ10" i="5"/>
  <c r="AJ12" i="5"/>
  <c r="AK10" i="5"/>
  <c r="AK14" i="5" s="1"/>
  <c r="AL10" i="5"/>
  <c r="AL12" i="5" s="1"/>
  <c r="AM10" i="5"/>
  <c r="AM14" i="5" s="1"/>
  <c r="AN10" i="5"/>
  <c r="AN14" i="5" s="1"/>
  <c r="AO10" i="5"/>
  <c r="AO12" i="5"/>
  <c r="AP10" i="5"/>
  <c r="AQ10" i="5"/>
  <c r="AR10" i="5"/>
  <c r="AR14" i="5" s="1"/>
  <c r="AS10" i="5"/>
  <c r="AS12" i="5" s="1"/>
  <c r="AT10" i="5"/>
  <c r="AT12" i="5" s="1"/>
  <c r="AU10" i="5"/>
  <c r="AU12" i="5"/>
  <c r="C10" i="5"/>
  <c r="C12" i="5" s="1"/>
  <c r="D10" i="5"/>
  <c r="D12" i="5" s="1"/>
  <c r="E10" i="5"/>
  <c r="E14" i="5"/>
  <c r="F10" i="5"/>
  <c r="F14" i="5" s="1"/>
  <c r="G10" i="5"/>
  <c r="G12" i="5" s="1"/>
  <c r="B10" i="5"/>
  <c r="X39" i="11"/>
  <c r="AP39" i="11"/>
  <c r="AQ39" i="11"/>
  <c r="AP26" i="11"/>
  <c r="AQ26" i="11"/>
  <c r="AY39" i="11"/>
  <c r="AX39" i="11"/>
  <c r="AU39" i="11"/>
  <c r="AT39" i="11"/>
  <c r="AM39" i="11"/>
  <c r="AL39" i="11"/>
  <c r="AK39" i="11"/>
  <c r="AI39" i="11"/>
  <c r="AE39" i="11"/>
  <c r="AD39" i="11"/>
  <c r="AA39" i="11"/>
  <c r="Z39" i="11"/>
  <c r="S39" i="11"/>
  <c r="R39" i="11"/>
  <c r="Q39" i="11"/>
  <c r="P39" i="11"/>
  <c r="O39" i="11"/>
  <c r="N39" i="11"/>
  <c r="K39" i="11"/>
  <c r="G39" i="11"/>
  <c r="F39" i="11"/>
  <c r="E39" i="11"/>
  <c r="D39" i="11"/>
  <c r="C39" i="11"/>
  <c r="B39" i="11"/>
  <c r="AW37" i="11"/>
  <c r="BA37" i="11" s="1"/>
  <c r="AV37" i="11"/>
  <c r="AZ37" i="11"/>
  <c r="AW36" i="11"/>
  <c r="BA36" i="11" s="1"/>
  <c r="AV36" i="11"/>
  <c r="AZ36" i="11" s="1"/>
  <c r="AW35" i="11"/>
  <c r="BA35" i="11" s="1"/>
  <c r="AV35" i="11"/>
  <c r="AZ35" i="11"/>
  <c r="AW34" i="11"/>
  <c r="BA34" i="11" s="1"/>
  <c r="AV34" i="11"/>
  <c r="AZ34" i="11" s="1"/>
  <c r="AW33" i="11"/>
  <c r="BA33" i="11" s="1"/>
  <c r="AV33" i="11"/>
  <c r="AZ33" i="11"/>
  <c r="AW32" i="11"/>
  <c r="BA32" i="11" s="1"/>
  <c r="AV32" i="11"/>
  <c r="AZ32" i="11" s="1"/>
  <c r="AS39" i="11"/>
  <c r="J39" i="11"/>
  <c r="AW30" i="11"/>
  <c r="BA30" i="11"/>
  <c r="AV30" i="11"/>
  <c r="AZ30" i="11" s="1"/>
  <c r="AW29" i="11"/>
  <c r="BA29" i="11" s="1"/>
  <c r="AV29" i="11"/>
  <c r="AZ29" i="11" s="1"/>
  <c r="AW28" i="11"/>
  <c r="BA28" i="11"/>
  <c r="AV28" i="11"/>
  <c r="AZ28" i="11" s="1"/>
  <c r="AW27" i="11"/>
  <c r="BA27" i="11" s="1"/>
  <c r="AV27" i="11"/>
  <c r="AZ27" i="11" s="1"/>
  <c r="AY26" i="11"/>
  <c r="AX26" i="11"/>
  <c r="AU26" i="11"/>
  <c r="AT26" i="11"/>
  <c r="AO26" i="11"/>
  <c r="AN26" i="11"/>
  <c r="AM26" i="11"/>
  <c r="AL26" i="11"/>
  <c r="AK26" i="11"/>
  <c r="AJ26" i="11"/>
  <c r="AI26" i="11"/>
  <c r="AH26" i="11"/>
  <c r="AE26" i="11"/>
  <c r="AD26" i="11"/>
  <c r="AC26" i="11"/>
  <c r="AB26" i="11"/>
  <c r="AA26" i="11"/>
  <c r="Z26" i="11"/>
  <c r="Y26" i="11"/>
  <c r="X26" i="11"/>
  <c r="W26" i="11"/>
  <c r="V26" i="11"/>
  <c r="T26" i="11"/>
  <c r="S26" i="11"/>
  <c r="R26" i="11"/>
  <c r="Q26" i="11"/>
  <c r="P26" i="11"/>
  <c r="O26" i="11"/>
  <c r="N26" i="11"/>
  <c r="K26" i="11"/>
  <c r="J26" i="11"/>
  <c r="I26" i="11"/>
  <c r="H26" i="11"/>
  <c r="G26" i="11"/>
  <c r="F26" i="11"/>
  <c r="E26" i="11"/>
  <c r="D26" i="11"/>
  <c r="C26" i="11"/>
  <c r="B26" i="11"/>
  <c r="AW24" i="11"/>
  <c r="BA24" i="11"/>
  <c r="AV24" i="11"/>
  <c r="AZ24" i="11" s="1"/>
  <c r="AW23" i="11"/>
  <c r="BA23" i="11"/>
  <c r="AV23" i="11"/>
  <c r="AZ23" i="11"/>
  <c r="AW22" i="11"/>
  <c r="BA22" i="11"/>
  <c r="AV22" i="11"/>
  <c r="AZ22" i="11" s="1"/>
  <c r="AW20" i="11"/>
  <c r="BA20" i="11"/>
  <c r="AV20" i="11"/>
  <c r="AZ20" i="11"/>
  <c r="AW19" i="11"/>
  <c r="BA19" i="11"/>
  <c r="AV19" i="11"/>
  <c r="AZ19" i="11" s="1"/>
  <c r="U26" i="11"/>
  <c r="AW17" i="11"/>
  <c r="BA17" i="11" s="1"/>
  <c r="AV17" i="11"/>
  <c r="AZ17" i="11" s="1"/>
  <c r="AW16" i="11"/>
  <c r="BA16" i="11"/>
  <c r="AV16" i="11"/>
  <c r="AZ16" i="11" s="1"/>
  <c r="AW15" i="11"/>
  <c r="BA15" i="11" s="1"/>
  <c r="AV15" i="11"/>
  <c r="AZ15" i="11" s="1"/>
  <c r="AW14" i="11"/>
  <c r="BA14" i="11"/>
  <c r="AV14" i="11"/>
  <c r="AZ14" i="11" s="1"/>
  <c r="AW13" i="11"/>
  <c r="BA13" i="11" s="1"/>
  <c r="AV13" i="11"/>
  <c r="AZ13" i="11" s="1"/>
  <c r="AY12" i="11"/>
  <c r="AX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K12" i="11"/>
  <c r="J12" i="11"/>
  <c r="I12" i="11"/>
  <c r="H12" i="11"/>
  <c r="G12" i="11"/>
  <c r="F12" i="11"/>
  <c r="E12" i="11"/>
  <c r="D12" i="11"/>
  <c r="C12" i="11"/>
  <c r="B12" i="11"/>
  <c r="AW11" i="11"/>
  <c r="BA11" i="11" s="1"/>
  <c r="AV11" i="11"/>
  <c r="AZ11" i="11" s="1"/>
  <c r="AW9" i="11"/>
  <c r="BA9" i="11"/>
  <c r="AV9" i="11"/>
  <c r="AZ9" i="11" s="1"/>
  <c r="AW8" i="11"/>
  <c r="BA8" i="11" s="1"/>
  <c r="AV8" i="11"/>
  <c r="AZ8" i="11" s="1"/>
  <c r="AW7" i="11"/>
  <c r="BA7" i="11"/>
  <c r="AV7" i="11"/>
  <c r="AZ7" i="11" s="1"/>
  <c r="AW6" i="11"/>
  <c r="BA6" i="11" s="1"/>
  <c r="AV6" i="11"/>
  <c r="AZ6" i="11" s="1"/>
  <c r="AJ39" i="11"/>
  <c r="M26" i="11"/>
  <c r="AW38" i="8"/>
  <c r="BA38" i="8" s="1"/>
  <c r="AV38" i="8"/>
  <c r="AZ38" i="8" s="1"/>
  <c r="AW37" i="8"/>
  <c r="BA37" i="8" s="1"/>
  <c r="AV37" i="8"/>
  <c r="AZ37" i="8"/>
  <c r="AW35" i="8"/>
  <c r="BA35" i="8" s="1"/>
  <c r="AV35" i="8"/>
  <c r="AZ35" i="8" s="1"/>
  <c r="AW34" i="8"/>
  <c r="BA34" i="8" s="1"/>
  <c r="AV34" i="8"/>
  <c r="AZ34" i="8"/>
  <c r="AW31" i="8"/>
  <c r="BA31" i="8" s="1"/>
  <c r="AV31" i="8"/>
  <c r="AZ31" i="8" s="1"/>
  <c r="AW30" i="8"/>
  <c r="BA30" i="8" s="1"/>
  <c r="AV30" i="8"/>
  <c r="AZ30" i="8"/>
  <c r="AW29" i="8"/>
  <c r="BA29" i="8" s="1"/>
  <c r="AV29" i="8"/>
  <c r="AZ29" i="8" s="1"/>
  <c r="AW27" i="8"/>
  <c r="BA27" i="8" s="1"/>
  <c r="AV27" i="8"/>
  <c r="AZ27" i="8"/>
  <c r="AW25" i="8"/>
  <c r="BA25" i="8" s="1"/>
  <c r="AV25" i="8"/>
  <c r="AZ25" i="8" s="1"/>
  <c r="AW24" i="8"/>
  <c r="BA24" i="8" s="1"/>
  <c r="AV24" i="8"/>
  <c r="AZ24" i="8"/>
  <c r="AW23" i="8"/>
  <c r="BA23" i="8" s="1"/>
  <c r="AV23" i="8"/>
  <c r="AZ23" i="8" s="1"/>
  <c r="AW22" i="8"/>
  <c r="BA22" i="8" s="1"/>
  <c r="AV22" i="8"/>
  <c r="AZ22" i="8"/>
  <c r="AW21" i="8"/>
  <c r="BA21" i="8" s="1"/>
  <c r="AV21" i="8"/>
  <c r="AZ21" i="8" s="1"/>
  <c r="AW20" i="8"/>
  <c r="BA20" i="8" s="1"/>
  <c r="AV20" i="8"/>
  <c r="AZ20" i="8"/>
  <c r="AW19" i="8"/>
  <c r="BA19" i="8" s="1"/>
  <c r="AV19" i="8"/>
  <c r="AZ19" i="8" s="1"/>
  <c r="AW18" i="8"/>
  <c r="BA18" i="8" s="1"/>
  <c r="AV18" i="8"/>
  <c r="AZ18" i="8" s="1"/>
  <c r="AW17" i="8"/>
  <c r="BA17" i="8" s="1"/>
  <c r="AV17" i="8"/>
  <c r="AZ17" i="8" s="1"/>
  <c r="AW16" i="8"/>
  <c r="BA16" i="8" s="1"/>
  <c r="AV16" i="8"/>
  <c r="AZ16" i="8" s="1"/>
  <c r="AW15" i="8"/>
  <c r="BA15" i="8" s="1"/>
  <c r="AV15" i="8"/>
  <c r="AZ15" i="8" s="1"/>
  <c r="AW14" i="8"/>
  <c r="BA14" i="8" s="1"/>
  <c r="AV14" i="8"/>
  <c r="AZ14" i="8" s="1"/>
  <c r="AW13" i="8"/>
  <c r="BA13" i="8" s="1"/>
  <c r="AV13" i="8"/>
  <c r="AZ13" i="8" s="1"/>
  <c r="AW11" i="8"/>
  <c r="BA11" i="8" s="1"/>
  <c r="AV11" i="8"/>
  <c r="AZ11" i="8"/>
  <c r="AW10" i="8"/>
  <c r="BA10" i="8" s="1"/>
  <c r="AV10" i="8"/>
  <c r="AZ10" i="8" s="1"/>
  <c r="AW7" i="8"/>
  <c r="BA7" i="8" s="1"/>
  <c r="AV7" i="8"/>
  <c r="AZ7" i="8" s="1"/>
  <c r="AW6" i="8"/>
  <c r="BA6" i="8" s="1"/>
  <c r="AV6" i="8"/>
  <c r="AZ6" i="8" s="1"/>
  <c r="AW5" i="8"/>
  <c r="BA5" i="8" s="1"/>
  <c r="AV5" i="8"/>
  <c r="AZ5" i="8" s="1"/>
  <c r="AZ39" i="8" s="1"/>
  <c r="AY25" i="7"/>
  <c r="AX25" i="7"/>
  <c r="AU25" i="7"/>
  <c r="AT25" i="7"/>
  <c r="AS25" i="7"/>
  <c r="AR25" i="7"/>
  <c r="AQ25" i="7"/>
  <c r="AP25" i="7"/>
  <c r="AO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G25" i="7"/>
  <c r="F25" i="7"/>
  <c r="E25" i="7"/>
  <c r="D25" i="7"/>
  <c r="C25" i="7"/>
  <c r="B25" i="7"/>
  <c r="AW24" i="7"/>
  <c r="BA24" i="7" s="1"/>
  <c r="AV24" i="7"/>
  <c r="AZ24" i="7" s="1"/>
  <c r="AW23" i="7"/>
  <c r="BA23" i="7" s="1"/>
  <c r="AV23" i="7"/>
  <c r="AZ23" i="7" s="1"/>
  <c r="AW22" i="7"/>
  <c r="BA22" i="7"/>
  <c r="AV22" i="7"/>
  <c r="AZ22" i="7" s="1"/>
  <c r="AW21" i="7"/>
  <c r="BA21" i="7" s="1"/>
  <c r="AV21" i="7"/>
  <c r="AZ21" i="7" s="1"/>
  <c r="AW20" i="7"/>
  <c r="BA20" i="7"/>
  <c r="AV20" i="7"/>
  <c r="AZ20" i="7" s="1"/>
  <c r="AW19" i="7"/>
  <c r="BA19" i="7" s="1"/>
  <c r="AV19" i="7"/>
  <c r="AZ19" i="7" s="1"/>
  <c r="AW18" i="7"/>
  <c r="BA18" i="7" s="1"/>
  <c r="AV18" i="7"/>
  <c r="AZ18" i="7" s="1"/>
  <c r="AW17" i="7"/>
  <c r="BA17" i="7" s="1"/>
  <c r="AV17" i="7"/>
  <c r="AZ17" i="7" s="1"/>
  <c r="AW16" i="7"/>
  <c r="BA16" i="7" s="1"/>
  <c r="AV16" i="7"/>
  <c r="AZ16" i="7" s="1"/>
  <c r="AW15" i="7"/>
  <c r="BA15" i="7" s="1"/>
  <c r="AV15" i="7"/>
  <c r="AZ15" i="7" s="1"/>
  <c r="AW14" i="7"/>
  <c r="BA14" i="7" s="1"/>
  <c r="AV14" i="7"/>
  <c r="AZ14" i="7" s="1"/>
  <c r="AW13" i="7"/>
  <c r="BA13" i="7" s="1"/>
  <c r="AV13" i="7"/>
  <c r="AZ13" i="7" s="1"/>
  <c r="AX12" i="7"/>
  <c r="AW11" i="7"/>
  <c r="BA11" i="7"/>
  <c r="AV11" i="7"/>
  <c r="AZ11" i="7"/>
  <c r="AW10" i="7"/>
  <c r="BA10" i="7"/>
  <c r="AV10" i="7"/>
  <c r="AZ10" i="7"/>
  <c r="AY12" i="7"/>
  <c r="AU9" i="7"/>
  <c r="AU12" i="7" s="1"/>
  <c r="AT9" i="7"/>
  <c r="AT12" i="7" s="1"/>
  <c r="AS9" i="7"/>
  <c r="AS12" i="7" s="1"/>
  <c r="AR9" i="7"/>
  <c r="AR12" i="7" s="1"/>
  <c r="AQ9" i="7"/>
  <c r="AQ12" i="7" s="1"/>
  <c r="AM9" i="7"/>
  <c r="AL9" i="7"/>
  <c r="AK9" i="7"/>
  <c r="AJ9" i="7"/>
  <c r="AI9" i="7"/>
  <c r="AI12" i="7"/>
  <c r="AH9" i="7"/>
  <c r="AH12" i="7" s="1"/>
  <c r="AG9" i="7"/>
  <c r="AF9" i="7"/>
  <c r="AF12" i="7"/>
  <c r="AE9" i="7"/>
  <c r="AE12" i="7"/>
  <c r="AD9" i="7"/>
  <c r="AD12" i="7"/>
  <c r="AB9" i="7"/>
  <c r="AB12" i="7" s="1"/>
  <c r="AA9" i="7"/>
  <c r="AA12" i="7"/>
  <c r="Z9" i="7"/>
  <c r="Z12" i="7" s="1"/>
  <c r="Y9" i="7"/>
  <c r="Y12" i="7"/>
  <c r="X9" i="7"/>
  <c r="X12" i="7" s="1"/>
  <c r="W9" i="7"/>
  <c r="W12" i="7"/>
  <c r="V9" i="7"/>
  <c r="V12" i="7" s="1"/>
  <c r="U9" i="7"/>
  <c r="U12" i="7"/>
  <c r="T9" i="7"/>
  <c r="T12" i="7" s="1"/>
  <c r="S9" i="7"/>
  <c r="S12" i="7"/>
  <c r="R9" i="7"/>
  <c r="R12" i="7" s="1"/>
  <c r="Q9" i="7"/>
  <c r="Q12" i="7"/>
  <c r="P9" i="7"/>
  <c r="P12" i="7" s="1"/>
  <c r="O9" i="7"/>
  <c r="O12" i="7"/>
  <c r="N9" i="7"/>
  <c r="N12" i="7" s="1"/>
  <c r="L9" i="7"/>
  <c r="L12" i="7"/>
  <c r="K9" i="7"/>
  <c r="K12" i="7" s="1"/>
  <c r="J9" i="7"/>
  <c r="J12" i="7"/>
  <c r="I9" i="7"/>
  <c r="I12" i="7" s="1"/>
  <c r="H9" i="7"/>
  <c r="H12" i="7"/>
  <c r="G9" i="7"/>
  <c r="G12" i="7" s="1"/>
  <c r="F9" i="7"/>
  <c r="F12" i="7"/>
  <c r="E9" i="7"/>
  <c r="E12" i="7" s="1"/>
  <c r="AW12" i="7" s="1"/>
  <c r="BA12" i="7" s="1"/>
  <c r="D9" i="7"/>
  <c r="D12" i="7"/>
  <c r="AW8" i="7"/>
  <c r="BA8" i="7" s="1"/>
  <c r="AV8" i="7"/>
  <c r="AZ8" i="7"/>
  <c r="AW7" i="7"/>
  <c r="BA7" i="7" s="1"/>
  <c r="AV7" i="7"/>
  <c r="AZ7" i="7"/>
  <c r="AW6" i="7"/>
  <c r="BA6" i="7" s="1"/>
  <c r="AV6" i="7"/>
  <c r="AZ6" i="7"/>
  <c r="AM38" i="6"/>
  <c r="AL38" i="6"/>
  <c r="Y38" i="6"/>
  <c r="AK34" i="6"/>
  <c r="AK36" i="6" s="1"/>
  <c r="AK38" i="6" s="1"/>
  <c r="AJ34" i="6"/>
  <c r="AJ36" i="6"/>
  <c r="AJ38" i="6"/>
  <c r="AI34" i="6"/>
  <c r="AI36" i="6" s="1"/>
  <c r="AI38" i="6" s="1"/>
  <c r="AH34" i="6"/>
  <c r="AH36" i="6" s="1"/>
  <c r="AH38" i="6" s="1"/>
  <c r="AG34" i="6"/>
  <c r="AG36" i="6"/>
  <c r="AG38" i="6" s="1"/>
  <c r="AF34" i="6"/>
  <c r="AF36" i="6"/>
  <c r="AF38" i="6" s="1"/>
  <c r="AE34" i="6"/>
  <c r="AE36" i="6"/>
  <c r="AE38" i="6"/>
  <c r="AD34" i="6"/>
  <c r="AD36" i="6" s="1"/>
  <c r="AD38" i="6" s="1"/>
  <c r="AC34" i="6"/>
  <c r="AC36" i="6" s="1"/>
  <c r="AC38" i="6" s="1"/>
  <c r="AB34" i="6"/>
  <c r="AB36" i="6"/>
  <c r="AB38" i="6"/>
  <c r="AA34" i="6"/>
  <c r="AA36" i="6" s="1"/>
  <c r="AA38" i="6" s="1"/>
  <c r="Z34" i="6"/>
  <c r="Z36" i="6" s="1"/>
  <c r="Z38" i="6" s="1"/>
  <c r="Y34" i="6"/>
  <c r="X34" i="6"/>
  <c r="W34" i="6"/>
  <c r="W36" i="6" s="1"/>
  <c r="W38" i="6" s="1"/>
  <c r="V34" i="6"/>
  <c r="V36" i="6" s="1"/>
  <c r="V38" i="6" s="1"/>
  <c r="U34" i="6"/>
  <c r="U36" i="6"/>
  <c r="U38" i="6" s="1"/>
  <c r="T34" i="6"/>
  <c r="T36" i="6"/>
  <c r="T38" i="6" s="1"/>
  <c r="S34" i="6"/>
  <c r="S36" i="6" s="1"/>
  <c r="S38" i="6" s="1"/>
  <c r="R34" i="6"/>
  <c r="R36" i="6" s="1"/>
  <c r="R38" i="6" s="1"/>
  <c r="Q34" i="6"/>
  <c r="Q36" i="6" s="1"/>
  <c r="Q38" i="6" s="1"/>
  <c r="P34" i="6"/>
  <c r="P36" i="6"/>
  <c r="P38" i="6"/>
  <c r="O34" i="6"/>
  <c r="O36" i="6" s="1"/>
  <c r="O38" i="6" s="1"/>
  <c r="N34" i="6"/>
  <c r="N36" i="6" s="1"/>
  <c r="N38" i="6" s="1"/>
  <c r="M34" i="6"/>
  <c r="M36" i="6"/>
  <c r="M38" i="6"/>
  <c r="L34" i="6"/>
  <c r="L36" i="6" s="1"/>
  <c r="L38" i="6" s="1"/>
  <c r="K34" i="6"/>
  <c r="K36" i="6" s="1"/>
  <c r="K38" i="6" s="1"/>
  <c r="J34" i="6"/>
  <c r="J36" i="6"/>
  <c r="J38" i="6" s="1"/>
  <c r="I34" i="6"/>
  <c r="I36" i="6"/>
  <c r="I38" i="6" s="1"/>
  <c r="H34" i="6"/>
  <c r="G34" i="6"/>
  <c r="G36" i="6"/>
  <c r="G38" i="6"/>
  <c r="F34" i="6"/>
  <c r="F36" i="6" s="1"/>
  <c r="F38" i="6" s="1"/>
  <c r="E34" i="6"/>
  <c r="E36" i="6" s="1"/>
  <c r="E38" i="6" s="1"/>
  <c r="D34" i="6"/>
  <c r="D36" i="6"/>
  <c r="D38" i="6" s="1"/>
  <c r="C34" i="6"/>
  <c r="C36" i="6"/>
  <c r="C38" i="6" s="1"/>
  <c r="B34" i="6"/>
  <c r="B36" i="6" s="1"/>
  <c r="AW30" i="6"/>
  <c r="BA30" i="6"/>
  <c r="AV30" i="6"/>
  <c r="AZ30" i="6" s="1"/>
  <c r="AW28" i="6"/>
  <c r="BA28" i="6" s="1"/>
  <c r="AV28" i="6"/>
  <c r="AZ28" i="6" s="1"/>
  <c r="AW27" i="6"/>
  <c r="BA27" i="6"/>
  <c r="AV27" i="6"/>
  <c r="AZ27" i="6" s="1"/>
  <c r="AW24" i="6"/>
  <c r="BA24" i="6" s="1"/>
  <c r="AV24" i="6"/>
  <c r="AZ24" i="6" s="1"/>
  <c r="AW21" i="6"/>
  <c r="BA21" i="6"/>
  <c r="AV21" i="6"/>
  <c r="AZ21" i="6" s="1"/>
  <c r="AW20" i="6"/>
  <c r="BA20" i="6" s="1"/>
  <c r="AV20" i="6"/>
  <c r="AZ20" i="6" s="1"/>
  <c r="AW19" i="6"/>
  <c r="BA19" i="6"/>
  <c r="AV19" i="6"/>
  <c r="AZ19" i="6" s="1"/>
  <c r="AW18" i="6"/>
  <c r="BA18" i="6" s="1"/>
  <c r="AV18" i="6"/>
  <c r="AZ18" i="6" s="1"/>
  <c r="AW17" i="6"/>
  <c r="BA17" i="6"/>
  <c r="AV17" i="6"/>
  <c r="AZ17" i="6" s="1"/>
  <c r="AW15" i="6"/>
  <c r="BA15" i="6" s="1"/>
  <c r="AV15" i="6"/>
  <c r="AZ15" i="6" s="1"/>
  <c r="AW14" i="6"/>
  <c r="BA14" i="6" s="1"/>
  <c r="AV14" i="6"/>
  <c r="AZ14" i="6"/>
  <c r="AW13" i="6"/>
  <c r="BA13" i="6" s="1"/>
  <c r="AV13" i="6"/>
  <c r="AZ13" i="6" s="1"/>
  <c r="AW12" i="6"/>
  <c r="BA12" i="6" s="1"/>
  <c r="AV12" i="6"/>
  <c r="AZ12" i="6"/>
  <c r="AW11" i="6"/>
  <c r="BA11" i="6" s="1"/>
  <c r="AV11" i="6"/>
  <c r="AZ11" i="6" s="1"/>
  <c r="AW8" i="6"/>
  <c r="BA8" i="6" s="1"/>
  <c r="AV8" i="6"/>
  <c r="AZ8" i="6"/>
  <c r="AW7" i="6"/>
  <c r="BA7" i="6" s="1"/>
  <c r="AV7" i="6"/>
  <c r="AZ7" i="6" s="1"/>
  <c r="AW6" i="6"/>
  <c r="BA6" i="6" s="1"/>
  <c r="AV6" i="6"/>
  <c r="AZ6" i="6"/>
  <c r="AW9" i="5"/>
  <c r="BA9" i="5" s="1"/>
  <c r="AV9" i="5"/>
  <c r="AZ9" i="5" s="1"/>
  <c r="AW8" i="5"/>
  <c r="BA8" i="5" s="1"/>
  <c r="AV8" i="5"/>
  <c r="AZ8" i="5" s="1"/>
  <c r="AW7" i="5"/>
  <c r="BA7" i="5" s="1"/>
  <c r="AV7" i="5"/>
  <c r="AZ7" i="5" s="1"/>
  <c r="AW17" i="4"/>
  <c r="BA17" i="4" s="1"/>
  <c r="AV17" i="4"/>
  <c r="AZ17" i="4" s="1"/>
  <c r="AW15" i="4"/>
  <c r="BA15" i="4" s="1"/>
  <c r="AV15" i="4"/>
  <c r="AZ15" i="4" s="1"/>
  <c r="AW14" i="4"/>
  <c r="BA14" i="4" s="1"/>
  <c r="AV14" i="4"/>
  <c r="AZ14" i="4" s="1"/>
  <c r="AW13" i="4"/>
  <c r="BA13" i="4" s="1"/>
  <c r="AV13" i="4"/>
  <c r="AZ13" i="4" s="1"/>
  <c r="AW12" i="4"/>
  <c r="BA12" i="4" s="1"/>
  <c r="AV12" i="4"/>
  <c r="AZ12" i="4" s="1"/>
  <c r="AW11" i="4"/>
  <c r="BA11" i="4" s="1"/>
  <c r="AV11" i="4"/>
  <c r="AZ11" i="4" s="1"/>
  <c r="AW10" i="4"/>
  <c r="BA10" i="4" s="1"/>
  <c r="AV10" i="4"/>
  <c r="AZ10" i="4" s="1"/>
  <c r="AW9" i="4"/>
  <c r="BA9" i="4" s="1"/>
  <c r="AV9" i="4"/>
  <c r="AZ9" i="4" s="1"/>
  <c r="AW8" i="4"/>
  <c r="BA8" i="4" s="1"/>
  <c r="AV8" i="4"/>
  <c r="AZ8" i="4" s="1"/>
  <c r="AW7" i="4"/>
  <c r="BA7" i="4" s="1"/>
  <c r="AV7" i="4"/>
  <c r="AZ7" i="4" s="1"/>
  <c r="AW6" i="4"/>
  <c r="BA6" i="4" s="1"/>
  <c r="AV6" i="4"/>
  <c r="AZ6" i="4" s="1"/>
  <c r="AW5" i="4"/>
  <c r="BA5" i="4" s="1"/>
  <c r="AV5" i="4"/>
  <c r="AZ5" i="4" s="1"/>
  <c r="AW17" i="3"/>
  <c r="BA17" i="3" s="1"/>
  <c r="AV17" i="3"/>
  <c r="AZ17" i="3" s="1"/>
  <c r="AW15" i="3"/>
  <c r="BA15" i="3" s="1"/>
  <c r="AV15" i="3"/>
  <c r="AZ15" i="3" s="1"/>
  <c r="AW14" i="3"/>
  <c r="BA14" i="3" s="1"/>
  <c r="AV14" i="3"/>
  <c r="AZ14" i="3" s="1"/>
  <c r="AW13" i="3"/>
  <c r="BA13" i="3" s="1"/>
  <c r="AV13" i="3"/>
  <c r="AZ13" i="3" s="1"/>
  <c r="AW12" i="3"/>
  <c r="BA12" i="3" s="1"/>
  <c r="AV12" i="3"/>
  <c r="AZ12" i="3" s="1"/>
  <c r="AW11" i="3"/>
  <c r="BA11" i="3" s="1"/>
  <c r="AV11" i="3"/>
  <c r="AZ11" i="3" s="1"/>
  <c r="AW10" i="3"/>
  <c r="BA10" i="3" s="1"/>
  <c r="AV10" i="3"/>
  <c r="AZ10" i="3" s="1"/>
  <c r="AW9" i="3"/>
  <c r="BA9" i="3" s="1"/>
  <c r="AV9" i="3"/>
  <c r="AZ9" i="3" s="1"/>
  <c r="AW8" i="3"/>
  <c r="BA8" i="3" s="1"/>
  <c r="AV8" i="3"/>
  <c r="AZ8" i="3" s="1"/>
  <c r="AW7" i="3"/>
  <c r="BA7" i="3" s="1"/>
  <c r="AV7" i="3"/>
  <c r="AZ7" i="3" s="1"/>
  <c r="AW6" i="3"/>
  <c r="BA6" i="3" s="1"/>
  <c r="AV6" i="3"/>
  <c r="AZ6" i="3" s="1"/>
  <c r="AW5" i="3"/>
  <c r="BA5" i="3" s="1"/>
  <c r="AV5" i="3"/>
  <c r="AZ5" i="3" s="1"/>
  <c r="AZ6" i="1"/>
  <c r="BA11" i="1"/>
  <c r="BA13" i="1"/>
  <c r="BA11" i="2"/>
  <c r="BA10" i="2"/>
  <c r="BA9" i="2"/>
  <c r="I12" i="5"/>
  <c r="AW12" i="5" s="1"/>
  <c r="BA12" i="5" s="1"/>
  <c r="I14" i="5"/>
  <c r="AW14" i="5" s="1"/>
  <c r="BA14" i="5" s="1"/>
  <c r="X14" i="5"/>
  <c r="X12" i="5"/>
  <c r="AW18" i="11"/>
  <c r="BA18" i="11" s="1"/>
  <c r="AY12" i="5"/>
  <c r="AU39" i="8"/>
  <c r="AV26" i="8"/>
  <c r="AZ26" i="8" s="1"/>
  <c r="AT39" i="8"/>
  <c r="AV33" i="8"/>
  <c r="AZ33" i="8"/>
  <c r="AW33" i="8"/>
  <c r="BA33" i="8"/>
  <c r="AW26" i="8"/>
  <c r="BA26" i="8"/>
  <c r="AV36" i="8"/>
  <c r="AZ36" i="8" s="1"/>
  <c r="AV8" i="8"/>
  <c r="AZ8" i="8"/>
  <c r="AW8" i="8"/>
  <c r="BA8" i="8"/>
  <c r="AV28" i="8"/>
  <c r="AZ28" i="8"/>
  <c r="AV22" i="6"/>
  <c r="AZ22" i="6" s="1"/>
  <c r="AW22" i="6"/>
  <c r="BA22" i="6"/>
  <c r="H36" i="6"/>
  <c r="H38" i="6"/>
  <c r="AT34" i="6"/>
  <c r="AT36" i="6" s="1"/>
  <c r="AT38" i="6" s="1"/>
  <c r="AV12" i="1"/>
  <c r="AZ12" i="1" s="1"/>
  <c r="AW16" i="3"/>
  <c r="BA16" i="3" s="1"/>
  <c r="AW16" i="4"/>
  <c r="BA16" i="4" s="1"/>
  <c r="AV12" i="2"/>
  <c r="AZ12" i="2" s="1"/>
  <c r="AW18" i="4"/>
  <c r="BA18" i="4" s="1"/>
  <c r="AV14" i="1"/>
  <c r="AZ14" i="1" s="1"/>
  <c r="C14" i="2"/>
  <c r="AW14" i="2" s="1"/>
  <c r="BA14" i="2" s="1"/>
  <c r="AW36" i="8"/>
  <c r="BA36" i="8"/>
  <c r="L12" i="11"/>
  <c r="AV12" i="11" s="1"/>
  <c r="AZ12" i="11" s="1"/>
  <c r="AV5" i="11"/>
  <c r="AZ5" i="11" s="1"/>
  <c r="AV21" i="11"/>
  <c r="AZ21" i="11" s="1"/>
  <c r="AV31" i="11"/>
  <c r="AZ31" i="11" s="1"/>
  <c r="AZ39" i="11" s="1"/>
  <c r="L39" i="11"/>
  <c r="AV39" i="11" s="1"/>
  <c r="AF26" i="11"/>
  <c r="AV26" i="11"/>
  <c r="AZ26" i="11" s="1"/>
  <c r="AF12" i="11"/>
  <c r="AW39" i="11"/>
  <c r="AW10" i="11"/>
  <c r="BA10" i="11" s="1"/>
  <c r="AW26" i="11"/>
  <c r="BA26" i="11" s="1"/>
  <c r="AW31" i="11"/>
  <c r="BA31" i="11" s="1"/>
  <c r="BA39" i="11" s="1"/>
  <c r="AW21" i="11"/>
  <c r="BA21" i="11" s="1"/>
  <c r="AH14" i="5"/>
  <c r="AX12" i="5"/>
  <c r="AC14" i="5"/>
  <c r="AG12" i="5"/>
  <c r="AK12" i="5"/>
  <c r="AO14" i="5"/>
  <c r="AU14" i="5"/>
  <c r="F12" i="5"/>
  <c r="AM12" i="5"/>
  <c r="R12" i="5"/>
  <c r="AD12" i="5"/>
  <c r="D14" i="5"/>
  <c r="AV14" i="5" s="1"/>
  <c r="AZ14" i="5" s="1"/>
  <c r="Z14" i="5"/>
  <c r="Q14" i="5"/>
  <c r="C14" i="5"/>
  <c r="U12" i="5"/>
  <c r="H12" i="5"/>
  <c r="L14" i="5"/>
  <c r="AS14" i="5"/>
  <c r="AR12" i="5"/>
  <c r="K14" i="5"/>
  <c r="S12" i="5"/>
  <c r="AI12" i="5"/>
  <c r="G14" i="5"/>
  <c r="AA12" i="5"/>
  <c r="AB12" i="5"/>
  <c r="W12" i="5"/>
  <c r="AT14" i="5"/>
  <c r="AF14" i="5"/>
  <c r="AE14" i="5"/>
  <c r="O14" i="5"/>
  <c r="AJ14" i="5"/>
  <c r="B12" i="5"/>
  <c r="V14" i="5"/>
  <c r="J14" i="5"/>
  <c r="B14" i="5"/>
  <c r="Y14" i="5"/>
  <c r="M14" i="5"/>
  <c r="E12" i="5"/>
  <c r="AW10" i="5"/>
  <c r="BA10" i="5" s="1"/>
  <c r="P14" i="5"/>
  <c r="N14" i="5"/>
  <c r="AN12" i="5"/>
  <c r="AL14" i="5"/>
  <c r="AV25" i="7"/>
  <c r="AZ25" i="7" s="1"/>
  <c r="AW25" i="7"/>
  <c r="BA25" i="7" s="1"/>
  <c r="AW9" i="7"/>
  <c r="BA9" i="7" s="1"/>
  <c r="AV9" i="7"/>
  <c r="AZ9" i="7" s="1"/>
  <c r="Y34" i="24"/>
  <c r="AA34" i="24" s="1"/>
  <c r="Y18" i="24"/>
  <c r="AA18" i="24" s="1"/>
  <c r="Y27" i="24"/>
  <c r="AA27" i="24" s="1"/>
  <c r="Y56" i="24"/>
  <c r="AA56" i="24" s="1"/>
  <c r="AB32" i="19"/>
  <c r="Z37" i="19"/>
  <c r="AB37" i="19"/>
  <c r="Z19" i="19"/>
  <c r="AB19" i="19"/>
  <c r="Z56" i="19"/>
  <c r="AB56" i="19" s="1"/>
  <c r="Z8" i="19"/>
  <c r="AB8" i="19"/>
  <c r="Y14" i="22"/>
  <c r="AA14" i="22"/>
  <c r="Z51" i="24"/>
  <c r="X51" i="24"/>
  <c r="Y23" i="24"/>
  <c r="AA23" i="24" s="1"/>
  <c r="W51" i="24"/>
  <c r="U51" i="24"/>
  <c r="Q51" i="24"/>
  <c r="N51" i="24"/>
  <c r="M67" i="24"/>
  <c r="L51" i="24"/>
  <c r="Y66" i="24"/>
  <c r="AA66" i="24" s="1"/>
  <c r="G51" i="24"/>
  <c r="E67" i="24"/>
  <c r="Y67" i="24" s="1"/>
  <c r="AA67" i="24" s="1"/>
  <c r="E51" i="24"/>
  <c r="Y10" i="24"/>
  <c r="AA10" i="24" s="1"/>
  <c r="Y50" i="24"/>
  <c r="AA50" i="24" s="1"/>
  <c r="Y47" i="24"/>
  <c r="AA47" i="24" s="1"/>
  <c r="D51" i="24"/>
  <c r="B51" i="24"/>
  <c r="AV18" i="3" l="1"/>
  <c r="AZ18" i="3" s="1"/>
  <c r="AV18" i="4"/>
  <c r="AZ18" i="4" s="1"/>
  <c r="AW5" i="11"/>
  <c r="BA5" i="11" s="1"/>
  <c r="M12" i="11"/>
  <c r="AW12" i="11" s="1"/>
  <c r="BA12" i="11" s="1"/>
  <c r="B38" i="6"/>
  <c r="AV38" i="6" s="1"/>
  <c r="AZ38" i="6" s="1"/>
  <c r="AV36" i="6"/>
  <c r="AZ36" i="6" s="1"/>
  <c r="AW38" i="6"/>
  <c r="BA38" i="6" s="1"/>
  <c r="BA28" i="8"/>
  <c r="BA39" i="8" s="1"/>
  <c r="AW39" i="8"/>
  <c r="AV12" i="7"/>
  <c r="AZ12" i="7" s="1"/>
  <c r="AV39" i="8"/>
  <c r="AW36" i="6"/>
  <c r="BA36" i="6" s="1"/>
  <c r="O51" i="24"/>
  <c r="Y51" i="24" s="1"/>
  <c r="AA51" i="24" s="1"/>
  <c r="V51" i="24"/>
  <c r="AW12" i="1"/>
  <c r="BA12" i="1" s="1"/>
  <c r="AV16" i="4"/>
  <c r="AZ16" i="4" s="1"/>
  <c r="AW12" i="2"/>
  <c r="BA12" i="2" s="1"/>
  <c r="AV16" i="3"/>
  <c r="AZ16" i="3" s="1"/>
  <c r="AW34" i="6"/>
  <c r="BA34" i="6" s="1"/>
  <c r="AV10" i="5"/>
  <c r="AZ10" i="5" s="1"/>
  <c r="T12" i="5"/>
  <c r="AV12" i="5" s="1"/>
  <c r="AZ12" i="5" s="1"/>
</calcChain>
</file>

<file path=xl/sharedStrings.xml><?xml version="1.0" encoding="utf-8"?>
<sst xmlns="http://schemas.openxmlformats.org/spreadsheetml/2006/main" count="1213" uniqueCount="326">
  <si>
    <t>Particulars</t>
  </si>
  <si>
    <t>Private Total</t>
  </si>
  <si>
    <t>Grand Total</t>
  </si>
  <si>
    <t>For Q3 1718</t>
  </si>
  <si>
    <t>Upto Q3 1718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</si>
  <si>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</si>
  <si>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</si>
  <si>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</si>
  <si>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</si>
  <si>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</si>
  <si>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</si>
  <si>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</si>
  <si>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</si>
  <si>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</si>
  <si>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</si>
  <si>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</si>
  <si>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</si>
  <si>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</si>
  <si>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</si>
  <si>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</si>
  <si>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</si>
  <si>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</si>
  <si>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</si>
  <si>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</si>
  <si>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</si>
  <si>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</si>
  <si>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</si>
  <si>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</si>
  <si>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</si>
  <si>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</si>
  <si>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</si>
  <si>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</si>
  <si>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</si>
  <si>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</si>
  <si>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</si>
  <si>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</si>
  <si>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</si>
  <si>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</si>
  <si>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</si>
  <si>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</si>
  <si>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</si>
  <si>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</si>
  <si>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</si>
  <si>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</si>
  <si>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</si>
  <si>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</si>
  <si>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</si>
  <si>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</si>
  <si>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</si>
  <si>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</si>
  <si>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</si>
  <si>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</si>
  <si>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</si>
  <si>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</si>
  <si>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</si>
  <si>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</si>
  <si>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</si>
  <si>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</si>
  <si>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</si>
  <si>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</si>
  <si>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</si>
  <si>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(in 000)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</si>
  <si>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</si>
  <si>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</si>
  <si>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</si>
  <si>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</si>
  <si>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</si>
  <si>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</si>
  <si>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>Net commission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</si>
  <si>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</si>
  <si>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</si>
  <si>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</si>
  <si>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</si>
  <si>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</si>
  <si>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</si>
  <si>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</si>
  <si>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</si>
  <si>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</si>
  <si>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>(Amount in '000)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</si>
  <si>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</si>
  <si>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</si>
  <si>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</si>
  <si>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</si>
  <si>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</si>
  <si>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</si>
  <si>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</si>
  <si>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</si>
  <si>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</si>
  <si>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</si>
  <si>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</si>
  <si>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</si>
  <si>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</si>
  <si>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</si>
  <si>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</si>
  <si>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</si>
  <si>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</si>
  <si>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</si>
  <si>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</si>
  <si>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</si>
  <si>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</si>
  <si>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</si>
  <si>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</si>
  <si>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</si>
  <si>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</si>
  <si>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</si>
  <si>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</si>
  <si>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</si>
  <si>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</si>
  <si>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</si>
  <si>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</si>
  <si>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</si>
  <si>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</si>
  <si>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</si>
  <si>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</si>
  <si>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</si>
  <si>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</si>
  <si>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</si>
  <si>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</si>
  <si>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</si>
  <si>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</si>
  <si>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</si>
  <si>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</si>
  <si>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</si>
  <si>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</si>
  <si>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</si>
  <si>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</si>
  <si>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</si>
  <si>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</si>
  <si>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</si>
  <si>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</si>
  <si>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</si>
  <si>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</si>
  <si>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</si>
  <si>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</si>
  <si>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</si>
  <si>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r>
      <rPr>
        <sz val="9"/>
        <rFont val="Comic Sans MS"/>
        <family val="4"/>
      </rPr>
      <t>-Income Tax</t>
    </r>
  </si>
  <si>
    <r>
      <rPr>
        <sz val="9"/>
        <rFont val="Comic Sans MS"/>
        <family val="4"/>
      </rPr>
      <t>Profit / (Loss) after tax</t>
    </r>
  </si>
  <si>
    <t>APPROPRIATIONS</t>
  </si>
  <si>
    <r>
      <rPr>
        <sz val="9"/>
        <rFont val="Comic Sans MS"/>
        <family val="4"/>
      </rPr>
      <t>(a) Balance at the beginning of the period</t>
    </r>
  </si>
  <si>
    <r>
      <rPr>
        <sz val="9"/>
        <rFont val="Comic Sans MS"/>
        <family val="4"/>
      </rPr>
      <t>(b) Interim dividend paid during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</si>
  <si>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</si>
  <si>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</si>
  <si>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</si>
  <si>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</si>
  <si>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</si>
  <si>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</si>
  <si>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</si>
  <si>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</si>
  <si>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L2:PROFIT &amp; LOSS ACCOUNT</t>
  </si>
  <si>
    <t>Figures in '000'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</si>
  <si>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</si>
  <si>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</si>
  <si>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</si>
  <si>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</si>
  <si>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</si>
  <si>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</si>
  <si>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</si>
  <si>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</si>
  <si>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</si>
  <si>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</si>
  <si>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</si>
  <si>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DHFL Pramerica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</si>
  <si>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</si>
  <si>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</si>
  <si>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</si>
  <si>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</si>
  <si>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</si>
  <si>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IDBI Federal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</si>
  <si>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</si>
  <si>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</si>
  <si>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</si>
  <si>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</si>
  <si>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</si>
  <si>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</si>
  <si>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</si>
  <si>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</si>
  <si>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</si>
  <si>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</si>
  <si>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</si>
  <si>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 xml:space="preserve">Edelweiss Tokio Life Insurance Company Limited </t>
  </si>
  <si>
    <t>For Q4 1718</t>
  </si>
  <si>
    <t>Upto Q4 1718</t>
  </si>
  <si>
    <t>Upto Q41718</t>
  </si>
  <si>
    <t xml:space="preserve">IDBI Federal Life Insurance Company Limited </t>
  </si>
  <si>
    <t>online</t>
  </si>
  <si>
    <t>(c) Others-Provision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</si>
  <si>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</si>
  <si>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</si>
  <si>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</si>
  <si>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</si>
  <si>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</si>
  <si>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</si>
  <si>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</si>
  <si>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</si>
  <si>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</si>
  <si>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</si>
  <si>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</si>
  <si>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</si>
  <si>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</si>
  <si>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</si>
  <si>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</si>
  <si>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</si>
  <si>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</si>
  <si>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</si>
  <si>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</si>
  <si>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</si>
  <si>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</si>
  <si>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</si>
  <si>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</si>
  <si>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</si>
  <si>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</si>
  <si>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</si>
  <si>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</si>
  <si>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</si>
  <si>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</si>
  <si>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</si>
  <si>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</si>
  <si>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</si>
  <si>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</si>
  <si>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</si>
  <si>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</si>
  <si>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</si>
  <si>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</si>
  <si>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</si>
  <si>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</si>
  <si>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</si>
  <si>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</si>
  <si>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</si>
  <si>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Total (D)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</si>
  <si>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</si>
  <si>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</si>
  <si>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</si>
  <si>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</si>
  <si>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Linked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</si>
  <si>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</si>
  <si>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</si>
  <si>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</si>
  <si>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</si>
  <si>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</si>
  <si>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</si>
  <si>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</si>
  <si>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</si>
  <si>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</si>
  <si>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</si>
  <si>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Form L-10-Reserves and Surplus Schedule(Amount in '000)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</si>
  <si>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</si>
  <si>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</si>
  <si>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</si>
  <si>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t>L1:REVENUE ACCOUNT Figures in '000'</t>
  </si>
  <si>
    <r>
      <rPr>
        <b/>
        <sz val="9"/>
        <color indexed="62"/>
        <rFont val="Comic Sans MS"/>
        <family val="4"/>
      </rPr>
      <t>Total</t>
    </r>
    <r>
      <rPr>
        <sz val="9"/>
        <color indexed="62"/>
        <rFont val="Comic Sans MS"/>
        <family val="4"/>
      </rPr>
      <t xml:space="preserve"> </t>
    </r>
    <r>
      <rPr>
        <b/>
        <sz val="9"/>
        <color indexed="62"/>
        <rFont val="Comic Sans MS"/>
        <family val="4"/>
      </rPr>
      <t>(B)</t>
    </r>
  </si>
  <si>
    <r>
      <rPr>
        <b/>
        <sz val="9"/>
        <color indexed="62"/>
        <rFont val="Comic Sans MS"/>
        <family val="4"/>
      </rPr>
      <t>Total</t>
    </r>
    <r>
      <rPr>
        <sz val="9"/>
        <color indexed="62"/>
        <rFont val="Comic Sans MS"/>
        <family val="4"/>
      </rPr>
      <t xml:space="preserve"> </t>
    </r>
    <r>
      <rPr>
        <b/>
        <sz val="9"/>
        <color indexed="62"/>
        <rFont val="Comic Sans MS"/>
        <family val="4"/>
      </rPr>
      <t>(A)</t>
    </r>
  </si>
  <si>
    <t>(g) Appreciation in unclaimed balances</t>
  </si>
  <si>
    <t>-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</si>
  <si>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</si>
  <si>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</si>
  <si>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</si>
  <si>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</si>
  <si>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</si>
  <si>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>Upto Q4 2018</t>
  </si>
  <si>
    <t>L3-Balance Sheet</t>
  </si>
  <si>
    <t xml:space="preserve">Aegon Life Insurance Company Limited </t>
  </si>
  <si>
    <t xml:space="preserve">Bharti AXA Life Insurance Private Limited </t>
  </si>
  <si>
    <t xml:space="preserve">Exide life Insurance Company Limited </t>
  </si>
  <si>
    <t xml:space="preserve">Future Generali India Life Insurance Company Limited </t>
  </si>
  <si>
    <t xml:space="preserve">HDFC Life Insurance Company Limited </t>
  </si>
  <si>
    <t xml:space="preserve">ICICI Prudential Life Insurance Company Limited </t>
  </si>
  <si>
    <t xml:space="preserve">PNB MetLife India Insurance Company Limited </t>
  </si>
  <si>
    <t xml:space="preserve">Star Union Dai-ichi Life Insurance Company Limited </t>
  </si>
  <si>
    <t>SOURCES OF FUNDS</t>
  </si>
  <si>
    <t>Shareholders' Funds</t>
  </si>
  <si>
    <r>
      <t xml:space="preserve">Share Capital </t>
    </r>
    <r>
      <rPr>
        <b/>
        <sz val="9"/>
        <color indexed="8"/>
        <rFont val="Comic Sans MS"/>
        <family val="4"/>
      </rPr>
      <t>L8</t>
    </r>
  </si>
  <si>
    <t>Share Application Money pending Allotment</t>
  </si>
  <si>
    <r>
      <t>Reserves And Surplus</t>
    </r>
    <r>
      <rPr>
        <b/>
        <sz val="9"/>
        <color indexed="8"/>
        <rFont val="Comic Sans MS"/>
        <family val="4"/>
      </rPr>
      <t xml:space="preserve"> L10</t>
    </r>
  </si>
  <si>
    <t>Credit/(Debit) Fair Value Change Account (Net)</t>
  </si>
  <si>
    <t>Deffered Tax Liability</t>
  </si>
  <si>
    <t>Sub-Total</t>
  </si>
  <si>
    <r>
      <t xml:space="preserve">Borrowings </t>
    </r>
    <r>
      <rPr>
        <b/>
        <sz val="9"/>
        <color indexed="8"/>
        <rFont val="Comic Sans MS"/>
        <family val="4"/>
      </rPr>
      <t>L11</t>
    </r>
  </si>
  <si>
    <t>Policyholders' Funds:</t>
  </si>
  <si>
    <t>Revaluation Reserve-Investment Property</t>
  </si>
  <si>
    <t>Policy Liabilities</t>
  </si>
  <si>
    <t>Surplus on Policy Holder's  A/c</t>
  </si>
  <si>
    <t>Non Linked</t>
  </si>
  <si>
    <t>Insurance Reserves</t>
  </si>
  <si>
    <t>Linked Liabilities</t>
  </si>
  <si>
    <t>Fair value change</t>
  </si>
  <si>
    <t>Provision For Linked Liabilities</t>
  </si>
  <si>
    <t>Credit/(Debit) Fair Value Change A/c (Linked)Change Account (Net)</t>
  </si>
  <si>
    <t>Non Linked Liabilities</t>
  </si>
  <si>
    <t>Funds for Discontinued Policies</t>
  </si>
  <si>
    <t xml:space="preserve">   Discontinued on account of non-payment of premium</t>
  </si>
  <si>
    <t xml:space="preserve">   Others</t>
  </si>
  <si>
    <t>Credit/(Debit) Fair Value Change Account (Linked)</t>
  </si>
  <si>
    <t>Total Linked Liabilities</t>
  </si>
  <si>
    <t>Funds For Future Appropriations</t>
  </si>
  <si>
    <t>TOTAL</t>
  </si>
  <si>
    <t>APPLICATION OF FUNDS</t>
  </si>
  <si>
    <t>Investments</t>
  </si>
  <si>
    <r>
      <t xml:space="preserve">Shareholders' </t>
    </r>
    <r>
      <rPr>
        <b/>
        <sz val="9"/>
        <color indexed="8"/>
        <rFont val="Comic Sans MS"/>
        <family val="4"/>
      </rPr>
      <t xml:space="preserve"> L12</t>
    </r>
  </si>
  <si>
    <r>
      <t xml:space="preserve">Policyholders'  </t>
    </r>
    <r>
      <rPr>
        <b/>
        <sz val="9"/>
        <color indexed="8"/>
        <rFont val="Comic Sans MS"/>
        <family val="4"/>
      </rPr>
      <t>L13</t>
    </r>
  </si>
  <si>
    <r>
      <t xml:space="preserve">Assets Held To Cover Linked Liabilities </t>
    </r>
    <r>
      <rPr>
        <b/>
        <sz val="9"/>
        <color indexed="8"/>
        <rFont val="Comic Sans MS"/>
        <family val="4"/>
      </rPr>
      <t>L14</t>
    </r>
  </si>
  <si>
    <r>
      <t>Loans</t>
    </r>
    <r>
      <rPr>
        <b/>
        <sz val="9"/>
        <color indexed="8"/>
        <rFont val="Comic Sans MS"/>
        <family val="4"/>
      </rPr>
      <t xml:space="preserve"> L15</t>
    </r>
  </si>
  <si>
    <r>
      <t xml:space="preserve">Fixed Assets </t>
    </r>
    <r>
      <rPr>
        <b/>
        <sz val="9"/>
        <color indexed="8"/>
        <rFont val="Comic Sans MS"/>
        <family val="4"/>
      </rPr>
      <t>L 16</t>
    </r>
  </si>
  <si>
    <t>Current Assets</t>
  </si>
  <si>
    <t>Deferred Tax Assets</t>
  </si>
  <si>
    <r>
      <t xml:space="preserve">Cash and Bank Balances </t>
    </r>
    <r>
      <rPr>
        <b/>
        <sz val="9"/>
        <color indexed="8"/>
        <rFont val="Comic Sans MS"/>
        <family val="4"/>
      </rPr>
      <t>L17</t>
    </r>
  </si>
  <si>
    <t>Advances And Other Assets L18</t>
  </si>
  <si>
    <t>Sub-Total (A)</t>
  </si>
  <si>
    <r>
      <t xml:space="preserve">Current Liabilities </t>
    </r>
    <r>
      <rPr>
        <b/>
        <sz val="9"/>
        <color indexed="8"/>
        <rFont val="Comic Sans MS"/>
        <family val="4"/>
      </rPr>
      <t>L19</t>
    </r>
  </si>
  <si>
    <r>
      <t xml:space="preserve">Provisions </t>
    </r>
    <r>
      <rPr>
        <b/>
        <sz val="9"/>
        <color indexed="8"/>
        <rFont val="Comic Sans MS"/>
        <family val="4"/>
      </rPr>
      <t>L20</t>
    </r>
  </si>
  <si>
    <t>Sub-Total (B)</t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</si>
  <si>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</si>
  <si>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</si>
  <si>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</si>
  <si>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</si>
  <si>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</si>
  <si>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</si>
  <si>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</si>
  <si>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</si>
  <si>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</si>
  <si>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</si>
  <si>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 xml:space="preserve">Statutory demands/ liabilities in dispute, not provided for </t>
  </si>
  <si>
    <t>Reinsurance obligations to the extent not provided for in accounts</t>
  </si>
  <si>
    <t>In relation to Claims against policies</t>
  </si>
  <si>
    <t>Audited as at 31st March 2018</t>
  </si>
  <si>
    <t>Provision for current tax</t>
  </si>
  <si>
    <t>AS at 31.03.2018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</si>
</sst>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(* #,##0.00_);_(* \(#,##0.00\);_(* &quot;-&quot;??_);_(@_)"/>
    <numFmt numFmtId="172" formatCode="##0"/>
    <numFmt numFmtId="173" formatCode="0.000"/>
  </numFmts>
  <fonts count="49" x14ac:knownFonts="1">
    <font>
      <sz val="11"/>
      <color theme="1"/>
      <name val="Calibri"/>
      <family val="2"/>
      <scheme val="minor"/>
    </font>
    <font>
      <b/>
      <sz val="9"/>
      <color indexed="8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sz val="9"/>
      <color indexed="62"/>
      <name val="Comic Sans MS"/>
      <family val="4"/>
    </font>
    <font>
      <sz val="9"/>
      <color indexed="62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sz val="8"/>
      <color rgb="FF000000"/>
      <name val="Comic Sans MS"/>
      <family val="4"/>
    </font>
    <font>
      <sz val="9"/>
      <color rgb="FF000000"/>
      <name val="Comic Sans MS"/>
      <family val="4"/>
    </font>
    <font>
      <i/>
      <sz val="9"/>
      <color theme="1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9"/>
      <color rgb="FF000000"/>
      <name val="Comic Sans MS"/>
      <family val="4"/>
    </font>
    <font>
      <b/>
      <sz val="8"/>
      <color theme="1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theme="4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b/>
      <sz val="9"/>
      <color theme="8"/>
      <name val="Comic Sans MS"/>
      <family val="4"/>
    </font>
    <font>
      <sz val="9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b/>
      <sz val="8"/>
      <color theme="8"/>
      <name val="Comic Sans MS"/>
      <family val="4"/>
    </font>
    <font>
      <sz val="8"/>
      <color theme="8"/>
      <name val="Comic Sans MS"/>
      <family val="4"/>
    </font>
    <font>
      <b/>
      <sz val="11"/>
      <color theme="8"/>
      <name val="Comic Sans MS"/>
      <family val="4"/>
    </font>
    <font>
      <b/>
      <sz val="11"/>
      <color theme="1"/>
      <name val="Comic Sans MS"/>
      <family val="4"/>
    </font>
    <font>
      <b/>
      <sz val="10"/>
      <color theme="8"/>
      <name val="Comic Sans MS"/>
      <family val="4"/>
    </font>
    <font>
      <sz val="10"/>
      <color rgb="FF000000"/>
      <name val="Comic Sans MS"/>
      <family val="4"/>
    </font>
    <font>
      <b/>
      <sz val="9"/>
      <color rgb="FFFF0000"/>
      <name val="Comic Sans MS"/>
      <family val="4"/>
    </font>
    <font>
      <b/>
      <sz val="8"/>
      <color rgb="FF0070C0"/>
      <name val="Comic Sans MS"/>
      <family val="4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9"/>
      <color rgb="FF0070C0"/>
      <name val="Comic Sans MS"/>
      <family val="4"/>
    </font>
    <font>
      <b/>
      <i/>
      <sz val="9"/>
      <color theme="8"/>
      <name val="Comic Sans MS"/>
      <family val="4"/>
    </font>
    <font>
      <b/>
      <sz val="10"/>
      <color theme="1"/>
      <name val="Arial"/>
      <family val="2"/>
    </font>
    <font>
      <b/>
      <sz val="10"/>
      <color rgb="FF000000"/>
      <name val="Comic Sans MS"/>
      <family val="4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</cellStyleXfs>
  <cellXfs count="1031">
    <xf numFmtId="0" fontId="0" fillId="0" borderId="0" xfId="0"/>
    <xf numFmtId="2" fontId="13" fillId="0" borderId="1" xfId="0" applyNumberFormat="1" applyFont="1" applyBorder="1" applyAlignment="1">
      <alignment horizontal="left"/>
    </xf>
    <xf numFmtId="2" fontId="13" fillId="0" borderId="2" xfId="0" applyNumberFormat="1" applyFont="1" applyBorder="1" applyAlignment="1">
      <alignment horizontal="left"/>
    </xf>
    <xf numFmtId="2" fontId="13" fillId="0" borderId="3" xfId="0" applyNumberFormat="1" applyFont="1" applyBorder="1" applyAlignment="1">
      <alignment horizontal="left"/>
    </xf>
    <xf numFmtId="2" fontId="13" fillId="0" borderId="2" xfId="2" applyNumberFormat="1" applyFont="1" applyBorder="1" applyAlignment="1">
      <alignment horizontal="left"/>
    </xf>
    <xf numFmtId="2" fontId="13" fillId="0" borderId="3" xfId="2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2" fontId="14" fillId="0" borderId="2" xfId="0" applyNumberFormat="1" applyFont="1" applyBorder="1" applyAlignment="1">
      <alignment horizontal="left"/>
    </xf>
    <xf numFmtId="2" fontId="14" fillId="0" borderId="3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1" fontId="14" fillId="0" borderId="2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1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left" vertical="center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1" fontId="13" fillId="0" borderId="4" xfId="0" applyNumberFormat="1" applyFont="1" applyBorder="1" applyAlignment="1">
      <alignment horizontal="left"/>
    </xf>
    <xf numFmtId="1" fontId="13" fillId="0" borderId="5" xfId="0" applyNumberFormat="1" applyFont="1" applyBorder="1" applyAlignment="1">
      <alignment horizontal="left"/>
    </xf>
    <xf numFmtId="1" fontId="13" fillId="0" borderId="3" xfId="0" applyNumberFormat="1" applyFont="1" applyBorder="1" applyAlignment="1">
      <alignment horizontal="left"/>
    </xf>
    <xf numFmtId="1" fontId="13" fillId="0" borderId="2" xfId="2" applyNumberFormat="1" applyFont="1" applyBorder="1" applyAlignment="1">
      <alignment horizontal="left"/>
    </xf>
    <xf numFmtId="1" fontId="13" fillId="0" borderId="3" xfId="2" applyNumberFormat="1" applyFont="1" applyBorder="1" applyAlignment="1">
      <alignment horizontal="left"/>
    </xf>
    <xf numFmtId="1" fontId="13" fillId="0" borderId="2" xfId="0" applyNumberFormat="1" applyFont="1" applyFill="1" applyBorder="1" applyAlignment="1">
      <alignment horizontal="left"/>
    </xf>
    <xf numFmtId="1" fontId="13" fillId="0" borderId="3" xfId="0" applyNumberFormat="1" applyFont="1" applyFill="1" applyBorder="1" applyAlignment="1">
      <alignment horizontal="left"/>
    </xf>
    <xf numFmtId="1" fontId="13" fillId="0" borderId="2" xfId="1" applyNumberFormat="1" applyFont="1" applyBorder="1" applyAlignment="1">
      <alignment horizontal="left"/>
    </xf>
    <xf numFmtId="1" fontId="13" fillId="0" borderId="3" xfId="1" applyNumberFormat="1" applyFont="1" applyBorder="1" applyAlignment="1">
      <alignment horizontal="left"/>
    </xf>
    <xf numFmtId="1" fontId="14" fillId="0" borderId="2" xfId="1" applyNumberFormat="1" applyFont="1" applyBorder="1" applyAlignment="1">
      <alignment horizontal="left"/>
    </xf>
    <xf numFmtId="1" fontId="14" fillId="0" borderId="3" xfId="1" applyNumberFormat="1" applyFont="1" applyBorder="1" applyAlignment="1">
      <alignment horizontal="left"/>
    </xf>
    <xf numFmtId="1" fontId="14" fillId="0" borderId="2" xfId="0" applyNumberFormat="1" applyFont="1" applyBorder="1" applyAlignment="1">
      <alignment horizontal="left"/>
    </xf>
    <xf numFmtId="2" fontId="14" fillId="0" borderId="5" xfId="0" applyNumberFormat="1" applyFont="1" applyBorder="1" applyAlignment="1">
      <alignment horizontal="left"/>
    </xf>
    <xf numFmtId="1" fontId="14" fillId="0" borderId="3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1" fontId="13" fillId="0" borderId="0" xfId="0" applyNumberFormat="1" applyFont="1" applyAlignment="1">
      <alignment horizontal="left"/>
    </xf>
    <xf numFmtId="1" fontId="14" fillId="0" borderId="6" xfId="0" applyNumberFormat="1" applyFont="1" applyBorder="1" applyAlignment="1">
      <alignment horizontal="left"/>
    </xf>
    <xf numFmtId="2" fontId="14" fillId="0" borderId="2" xfId="0" applyNumberFormat="1" applyFont="1" applyBorder="1" applyAlignment="1">
      <alignment horizontal="left" vertical="center"/>
    </xf>
    <xf numFmtId="1" fontId="13" fillId="0" borderId="6" xfId="2" applyNumberFormat="1" applyFont="1" applyBorder="1" applyAlignment="1">
      <alignment horizontal="left"/>
    </xf>
    <xf numFmtId="2" fontId="13" fillId="0" borderId="6" xfId="0" applyNumberFormat="1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1" fontId="13" fillId="0" borderId="8" xfId="0" applyNumberFormat="1" applyFont="1" applyBorder="1" applyAlignment="1">
      <alignment horizontal="left" vertical="center"/>
    </xf>
    <xf numFmtId="1" fontId="13" fillId="0" borderId="9" xfId="0" applyNumberFormat="1" applyFont="1" applyBorder="1" applyAlignment="1">
      <alignment horizontal="left"/>
    </xf>
    <xf numFmtId="1" fontId="13" fillId="0" borderId="6" xfId="0" applyNumberFormat="1" applyFont="1" applyBorder="1" applyAlignment="1">
      <alignment horizontal="left"/>
    </xf>
    <xf numFmtId="1" fontId="13" fillId="0" borderId="8" xfId="0" applyNumberFormat="1" applyFont="1" applyBorder="1" applyAlignment="1">
      <alignment horizontal="left"/>
    </xf>
    <xf numFmtId="2" fontId="13" fillId="0" borderId="8" xfId="0" applyNumberFormat="1" applyFont="1" applyBorder="1" applyAlignment="1">
      <alignment horizontal="left"/>
    </xf>
    <xf numFmtId="1" fontId="13" fillId="0" borderId="8" xfId="2" applyNumberFormat="1" applyFont="1" applyBorder="1" applyAlignment="1">
      <alignment horizontal="left"/>
    </xf>
    <xf numFmtId="1" fontId="13" fillId="0" borderId="6" xfId="0" applyNumberFormat="1" applyFont="1" applyFill="1" applyBorder="1" applyAlignment="1">
      <alignment horizontal="left"/>
    </xf>
    <xf numFmtId="1" fontId="13" fillId="0" borderId="8" xfId="0" applyNumberFormat="1" applyFont="1" applyFill="1" applyBorder="1" applyAlignment="1">
      <alignment horizontal="left"/>
    </xf>
    <xf numFmtId="1" fontId="13" fillId="0" borderId="6" xfId="1" applyNumberFormat="1" applyFont="1" applyBorder="1" applyAlignment="1">
      <alignment horizontal="left"/>
    </xf>
    <xf numFmtId="1" fontId="13" fillId="0" borderId="8" xfId="1" applyNumberFormat="1" applyFont="1" applyBorder="1" applyAlignment="1">
      <alignment horizontal="left"/>
    </xf>
    <xf numFmtId="1" fontId="14" fillId="0" borderId="9" xfId="0" applyNumberFormat="1" applyFont="1" applyBorder="1" applyAlignment="1">
      <alignment horizontal="left"/>
    </xf>
    <xf numFmtId="1" fontId="14" fillId="0" borderId="10" xfId="0" applyNumberFormat="1" applyFont="1" applyBorder="1" applyAlignment="1">
      <alignment horizontal="left"/>
    </xf>
    <xf numFmtId="2" fontId="13" fillId="0" borderId="0" xfId="0" applyNumberFormat="1" applyFont="1" applyAlignment="1">
      <alignment horizontal="left"/>
    </xf>
    <xf numFmtId="1" fontId="13" fillId="0" borderId="1" xfId="0" applyNumberFormat="1" applyFont="1" applyBorder="1" applyAlignment="1">
      <alignment horizontal="left" vertical="center"/>
    </xf>
    <xf numFmtId="1" fontId="13" fillId="0" borderId="3" xfId="0" applyNumberFormat="1" applyFont="1" applyBorder="1" applyAlignment="1">
      <alignment horizontal="left" vertical="center"/>
    </xf>
    <xf numFmtId="1" fontId="14" fillId="0" borderId="11" xfId="0" applyNumberFormat="1" applyFont="1" applyBorder="1" applyAlignment="1">
      <alignment horizontal="left"/>
    </xf>
    <xf numFmtId="1" fontId="14" fillId="0" borderId="12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1" fontId="2" fillId="0" borderId="12" xfId="0" applyNumberFormat="1" applyFont="1" applyBorder="1" applyAlignment="1">
      <alignment horizontal="left"/>
    </xf>
    <xf numFmtId="1" fontId="13" fillId="0" borderId="11" xfId="0" applyNumberFormat="1" applyFont="1" applyFill="1" applyBorder="1" applyAlignment="1">
      <alignment horizontal="left"/>
    </xf>
    <xf numFmtId="1" fontId="13" fillId="0" borderId="12" xfId="0" applyNumberFormat="1" applyFont="1" applyFill="1" applyBorder="1" applyAlignment="1">
      <alignment horizontal="left"/>
    </xf>
    <xf numFmtId="2" fontId="14" fillId="0" borderId="11" xfId="0" applyNumberFormat="1" applyFont="1" applyBorder="1" applyAlignment="1">
      <alignment horizontal="left"/>
    </xf>
    <xf numFmtId="2" fontId="14" fillId="0" borderId="12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2" fontId="13" fillId="0" borderId="2" xfId="0" applyNumberFormat="1" applyFont="1" applyBorder="1" applyAlignment="1">
      <alignment horizontal="left" vertical="center"/>
    </xf>
    <xf numFmtId="2" fontId="13" fillId="0" borderId="4" xfId="0" applyNumberFormat="1" applyFont="1" applyBorder="1" applyAlignment="1">
      <alignment horizontal="left" vertical="center"/>
    </xf>
    <xf numFmtId="2" fontId="19" fillId="0" borderId="1" xfId="0" applyNumberFormat="1" applyFont="1" applyBorder="1" applyAlignment="1">
      <alignment horizontal="left"/>
    </xf>
    <xf numFmtId="2" fontId="19" fillId="0" borderId="2" xfId="0" applyNumberFormat="1" applyFont="1" applyBorder="1" applyAlignment="1">
      <alignment horizontal="left"/>
    </xf>
    <xf numFmtId="2" fontId="19" fillId="0" borderId="4" xfId="0" applyNumberFormat="1" applyFont="1" applyBorder="1" applyAlignment="1">
      <alignment horizontal="left"/>
    </xf>
    <xf numFmtId="2" fontId="19" fillId="0" borderId="3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172" fontId="15" fillId="0" borderId="2" xfId="0" applyNumberFormat="1" applyFont="1" applyBorder="1" applyAlignment="1">
      <alignment horizontal="left"/>
    </xf>
    <xf numFmtId="2" fontId="19" fillId="0" borderId="2" xfId="0" applyNumberFormat="1" applyFont="1" applyFill="1" applyBorder="1" applyAlignment="1">
      <alignment horizontal="left"/>
    </xf>
    <xf numFmtId="2" fontId="19" fillId="0" borderId="3" xfId="0" applyNumberFormat="1" applyFont="1" applyFill="1" applyBorder="1" applyAlignment="1">
      <alignment horizontal="left"/>
    </xf>
    <xf numFmtId="2" fontId="19" fillId="0" borderId="2" xfId="1" applyNumberFormat="1" applyFont="1" applyBorder="1" applyAlignment="1">
      <alignment horizontal="left"/>
    </xf>
    <xf numFmtId="2" fontId="20" fillId="0" borderId="5" xfId="0" applyNumberFormat="1" applyFont="1" applyBorder="1" applyAlignment="1">
      <alignment horizontal="left"/>
    </xf>
    <xf numFmtId="2" fontId="20" fillId="0" borderId="1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/>
    </xf>
    <xf numFmtId="3" fontId="15" fillId="0" borderId="3" xfId="0" applyNumberFormat="1" applyFont="1" applyBorder="1" applyAlignment="1">
      <alignment horizontal="left"/>
    </xf>
    <xf numFmtId="2" fontId="14" fillId="0" borderId="4" xfId="0" applyNumberFormat="1" applyFont="1" applyBorder="1" applyAlignment="1">
      <alignment horizontal="left" vertical="center"/>
    </xf>
    <xf numFmtId="2" fontId="20" fillId="0" borderId="2" xfId="0" applyNumberFormat="1" applyFont="1" applyBorder="1" applyAlignment="1">
      <alignment horizontal="left"/>
    </xf>
    <xf numFmtId="2" fontId="20" fillId="0" borderId="4" xfId="0" applyNumberFormat="1" applyFont="1" applyBorder="1" applyAlignment="1">
      <alignment horizontal="left"/>
    </xf>
    <xf numFmtId="2" fontId="20" fillId="0" borderId="3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18" fillId="0" borderId="0" xfId="0" applyNumberFormat="1" applyFont="1" applyAlignment="1">
      <alignment horizontal="left"/>
    </xf>
    <xf numFmtId="172" fontId="21" fillId="0" borderId="0" xfId="0" applyNumberFormat="1" applyFont="1" applyBorder="1" applyAlignment="1">
      <alignment horizontal="left"/>
    </xf>
    <xf numFmtId="172" fontId="21" fillId="0" borderId="13" xfId="0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14" fillId="0" borderId="0" xfId="0" applyFont="1"/>
    <xf numFmtId="0" fontId="22" fillId="0" borderId="0" xfId="0" applyFont="1" applyAlignment="1">
      <alignment horizontal="left"/>
    </xf>
    <xf numFmtId="2" fontId="14" fillId="0" borderId="3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2" fontId="14" fillId="0" borderId="4" xfId="0" applyNumberFormat="1" applyFont="1" applyBorder="1" applyAlignment="1">
      <alignment horizontal="left"/>
    </xf>
    <xf numFmtId="2" fontId="14" fillId="0" borderId="2" xfId="0" applyNumberFormat="1" applyFont="1" applyFill="1" applyBorder="1" applyAlignment="1">
      <alignment horizontal="left"/>
    </xf>
    <xf numFmtId="2" fontId="14" fillId="0" borderId="3" xfId="0" applyNumberFormat="1" applyFont="1" applyFill="1" applyBorder="1" applyAlignment="1">
      <alignment horizontal="left"/>
    </xf>
    <xf numFmtId="2" fontId="14" fillId="0" borderId="2" xfId="1" applyNumberFormat="1" applyFont="1" applyBorder="1" applyAlignment="1">
      <alignment horizontal="left"/>
    </xf>
    <xf numFmtId="2" fontId="14" fillId="0" borderId="3" xfId="1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18" fillId="0" borderId="0" xfId="0" applyFont="1"/>
    <xf numFmtId="0" fontId="15" fillId="0" borderId="15" xfId="0" applyFont="1" applyBorder="1" applyAlignment="1">
      <alignment horizontal="left"/>
    </xf>
    <xf numFmtId="1" fontId="22" fillId="0" borderId="1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0" xfId="0" applyFont="1" applyAlignment="1">
      <alignment horizontal="left"/>
    </xf>
    <xf numFmtId="2" fontId="23" fillId="0" borderId="2" xfId="0" applyNumberFormat="1" applyFont="1" applyBorder="1" applyAlignment="1">
      <alignment horizontal="left" vertical="center"/>
    </xf>
    <xf numFmtId="2" fontId="23" fillId="0" borderId="3" xfId="0" applyNumberFormat="1" applyFont="1" applyBorder="1" applyAlignment="1">
      <alignment horizontal="left" vertical="center"/>
    </xf>
    <xf numFmtId="2" fontId="23" fillId="0" borderId="1" xfId="0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/>
    </xf>
    <xf numFmtId="2" fontId="23" fillId="0" borderId="3" xfId="0" applyNumberFormat="1" applyFont="1" applyBorder="1" applyAlignment="1">
      <alignment horizontal="left"/>
    </xf>
    <xf numFmtId="2" fontId="23" fillId="0" borderId="4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left"/>
    </xf>
    <xf numFmtId="1" fontId="23" fillId="0" borderId="3" xfId="0" applyNumberFormat="1" applyFont="1" applyBorder="1" applyAlignment="1">
      <alignment horizontal="left"/>
    </xf>
    <xf numFmtId="2" fontId="23" fillId="0" borderId="2" xfId="2" applyNumberFormat="1" applyFont="1" applyBorder="1" applyAlignment="1">
      <alignment horizontal="left"/>
    </xf>
    <xf numFmtId="2" fontId="23" fillId="0" borderId="3" xfId="2" applyNumberFormat="1" applyFont="1" applyBorder="1" applyAlignment="1">
      <alignment horizontal="left"/>
    </xf>
    <xf numFmtId="2" fontId="23" fillId="0" borderId="2" xfId="0" applyNumberFormat="1" applyFont="1" applyFill="1" applyBorder="1" applyAlignment="1">
      <alignment horizontal="left"/>
    </xf>
    <xf numFmtId="2" fontId="23" fillId="0" borderId="2" xfId="1" applyNumberFormat="1" applyFont="1" applyBorder="1" applyAlignment="1">
      <alignment horizontal="left"/>
    </xf>
    <xf numFmtId="2" fontId="23" fillId="0" borderId="3" xfId="1" applyNumberFormat="1" applyFont="1" applyBorder="1" applyAlignment="1">
      <alignment horizontal="left"/>
    </xf>
    <xf numFmtId="2" fontId="22" fillId="0" borderId="4" xfId="0" applyNumberFormat="1" applyFont="1" applyBorder="1" applyAlignment="1">
      <alignment horizontal="left"/>
    </xf>
    <xf numFmtId="2" fontId="22" fillId="0" borderId="16" xfId="0" applyNumberFormat="1" applyFont="1" applyBorder="1" applyAlignment="1">
      <alignment horizontal="left"/>
    </xf>
    <xf numFmtId="2" fontId="22" fillId="0" borderId="2" xfId="0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left" vertical="center"/>
    </xf>
    <xf numFmtId="1" fontId="23" fillId="0" borderId="4" xfId="0" applyNumberFormat="1" applyFont="1" applyBorder="1" applyAlignment="1">
      <alignment horizontal="left"/>
    </xf>
    <xf numFmtId="1" fontId="23" fillId="0" borderId="0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1" fontId="23" fillId="0" borderId="7" xfId="0" applyNumberFormat="1" applyFont="1" applyBorder="1" applyAlignment="1">
      <alignment horizontal="left"/>
    </xf>
    <xf numFmtId="1" fontId="23" fillId="0" borderId="2" xfId="2" applyNumberFormat="1" applyFont="1" applyBorder="1" applyAlignment="1">
      <alignment horizontal="left"/>
    </xf>
    <xf numFmtId="1" fontId="23" fillId="0" borderId="3" xfId="2" applyNumberFormat="1" applyFont="1" applyBorder="1" applyAlignment="1">
      <alignment horizontal="left"/>
    </xf>
    <xf numFmtId="1" fontId="23" fillId="0" borderId="2" xfId="0" applyNumberFormat="1" applyFont="1" applyFill="1" applyBorder="1" applyAlignment="1">
      <alignment horizontal="left"/>
    </xf>
    <xf numFmtId="1" fontId="23" fillId="0" borderId="1" xfId="1" applyNumberFormat="1" applyFont="1" applyBorder="1" applyAlignment="1">
      <alignment horizontal="left"/>
    </xf>
    <xf numFmtId="1" fontId="23" fillId="0" borderId="2" xfId="1" applyNumberFormat="1" applyFont="1" applyBorder="1" applyAlignment="1">
      <alignment horizontal="left"/>
    </xf>
    <xf numFmtId="1" fontId="23" fillId="0" borderId="3" xfId="1" applyNumberFormat="1" applyFont="1" applyBorder="1" applyAlignment="1">
      <alignment horizontal="left"/>
    </xf>
    <xf numFmtId="1" fontId="22" fillId="0" borderId="1" xfId="0" applyNumberFormat="1" applyFont="1" applyBorder="1" applyAlignment="1">
      <alignment horizontal="left"/>
    </xf>
    <xf numFmtId="1" fontId="22" fillId="0" borderId="15" xfId="0" applyNumberFormat="1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1" fontId="22" fillId="0" borderId="5" xfId="0" applyNumberFormat="1" applyFont="1" applyBorder="1" applyAlignment="1">
      <alignment horizontal="left" vertical="center"/>
    </xf>
    <xf numFmtId="1" fontId="22" fillId="0" borderId="2" xfId="0" applyNumberFormat="1" applyFont="1" applyBorder="1" applyAlignment="1">
      <alignment horizontal="left"/>
    </xf>
    <xf numFmtId="1" fontId="22" fillId="0" borderId="3" xfId="0" applyNumberFormat="1" applyFont="1" applyBorder="1" applyAlignment="1">
      <alignment horizontal="left"/>
    </xf>
    <xf numFmtId="1" fontId="18" fillId="0" borderId="0" xfId="0" applyNumberFormat="1" applyFont="1" applyAlignment="1">
      <alignment horizontal="left"/>
    </xf>
    <xf numFmtId="2" fontId="23" fillId="0" borderId="1" xfId="0" applyNumberFormat="1" applyFont="1" applyBorder="1" applyAlignment="1">
      <alignment horizontal="left" vertical="center"/>
    </xf>
    <xf numFmtId="2" fontId="23" fillId="0" borderId="5" xfId="0" applyNumberFormat="1" applyFont="1" applyBorder="1" applyAlignment="1">
      <alignment horizontal="left"/>
    </xf>
    <xf numFmtId="1" fontId="23" fillId="0" borderId="5" xfId="0" applyNumberFormat="1" applyFont="1" applyBorder="1" applyAlignment="1">
      <alignment horizontal="left"/>
    </xf>
    <xf numFmtId="1" fontId="23" fillId="0" borderId="4" xfId="0" applyNumberFormat="1" applyFont="1" applyFill="1" applyBorder="1" applyAlignment="1">
      <alignment horizontal="left"/>
    </xf>
    <xf numFmtId="1" fontId="22" fillId="0" borderId="5" xfId="0" applyNumberFormat="1" applyFont="1" applyBorder="1" applyAlignment="1">
      <alignment horizontal="left"/>
    </xf>
    <xf numFmtId="1" fontId="22" fillId="0" borderId="17" xfId="0" applyNumberFormat="1" applyFont="1" applyBorder="1" applyAlignment="1">
      <alignment horizontal="left"/>
    </xf>
    <xf numFmtId="1" fontId="22" fillId="0" borderId="16" xfId="0" applyNumberFormat="1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2" fontId="22" fillId="0" borderId="1" xfId="0" applyNumberFormat="1" applyFont="1" applyBorder="1" applyAlignment="1">
      <alignment horizontal="left" vertical="center"/>
    </xf>
    <xf numFmtId="2" fontId="22" fillId="0" borderId="3" xfId="0" applyNumberFormat="1" applyFont="1" applyBorder="1" applyAlignment="1">
      <alignment horizontal="left" vertical="center"/>
    </xf>
    <xf numFmtId="2" fontId="22" fillId="0" borderId="5" xfId="0" applyNumberFormat="1" applyFont="1" applyBorder="1" applyAlignment="1">
      <alignment horizontal="left"/>
    </xf>
    <xf numFmtId="2" fontId="22" fillId="0" borderId="3" xfId="0" applyNumberFormat="1" applyFont="1" applyBorder="1" applyAlignment="1">
      <alignment horizontal="left"/>
    </xf>
    <xf numFmtId="2" fontId="23" fillId="0" borderId="18" xfId="0" applyNumberFormat="1" applyFont="1" applyBorder="1" applyAlignment="1">
      <alignment horizontal="left" vertical="center"/>
    </xf>
    <xf numFmtId="2" fontId="23" fillId="0" borderId="19" xfId="0" applyNumberFormat="1" applyFont="1" applyBorder="1" applyAlignment="1">
      <alignment horizontal="left" vertical="center"/>
    </xf>
    <xf numFmtId="2" fontId="23" fillId="0" borderId="20" xfId="0" applyNumberFormat="1" applyFont="1" applyBorder="1" applyAlignment="1">
      <alignment horizontal="left"/>
    </xf>
    <xf numFmtId="2" fontId="23" fillId="0" borderId="21" xfId="0" applyNumberFormat="1" applyFont="1" applyBorder="1" applyAlignment="1">
      <alignment horizontal="left"/>
    </xf>
    <xf numFmtId="1" fontId="23" fillId="0" borderId="19" xfId="0" applyNumberFormat="1" applyFont="1" applyBorder="1" applyAlignment="1">
      <alignment horizontal="left"/>
    </xf>
    <xf numFmtId="1" fontId="23" fillId="0" borderId="20" xfId="0" applyNumberFormat="1" applyFont="1" applyBorder="1" applyAlignment="1">
      <alignment horizontal="left"/>
    </xf>
    <xf numFmtId="1" fontId="23" fillId="0" borderId="21" xfId="0" applyNumberFormat="1" applyFont="1" applyBorder="1" applyAlignment="1">
      <alignment horizontal="left"/>
    </xf>
    <xf numFmtId="2" fontId="23" fillId="0" borderId="19" xfId="0" applyNumberFormat="1" applyFont="1" applyBorder="1" applyAlignment="1">
      <alignment horizontal="left"/>
    </xf>
    <xf numFmtId="1" fontId="23" fillId="0" borderId="18" xfId="0" applyNumberFormat="1" applyFont="1" applyBorder="1" applyAlignment="1">
      <alignment horizontal="left"/>
    </xf>
    <xf numFmtId="1" fontId="23" fillId="0" borderId="18" xfId="1" applyNumberFormat="1" applyFont="1" applyBorder="1" applyAlignment="1">
      <alignment horizontal="left"/>
    </xf>
    <xf numFmtId="1" fontId="22" fillId="0" borderId="20" xfId="0" applyNumberFormat="1" applyFont="1" applyBorder="1" applyAlignment="1">
      <alignment horizontal="left"/>
    </xf>
    <xf numFmtId="1" fontId="22" fillId="0" borderId="22" xfId="0" applyNumberFormat="1" applyFont="1" applyBorder="1" applyAlignment="1">
      <alignment horizontal="left"/>
    </xf>
    <xf numFmtId="1" fontId="22" fillId="0" borderId="23" xfId="0" applyNumberFormat="1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1" fontId="23" fillId="0" borderId="25" xfId="0" applyNumberFormat="1" applyFont="1" applyBorder="1" applyAlignment="1">
      <alignment horizontal="left"/>
    </xf>
    <xf numFmtId="1" fontId="23" fillId="0" borderId="24" xfId="0" applyNumberFormat="1" applyFont="1" applyBorder="1" applyAlignment="1">
      <alignment horizontal="left"/>
    </xf>
    <xf numFmtId="1" fontId="23" fillId="0" borderId="26" xfId="0" applyNumberFormat="1" applyFont="1" applyBorder="1" applyAlignment="1">
      <alignment horizontal="left"/>
    </xf>
    <xf numFmtId="1" fontId="22" fillId="0" borderId="27" xfId="0" applyNumberFormat="1" applyFont="1" applyBorder="1" applyAlignment="1">
      <alignment horizontal="left"/>
    </xf>
    <xf numFmtId="1" fontId="22" fillId="0" borderId="24" xfId="0" applyNumberFormat="1" applyFont="1" applyBorder="1" applyAlignment="1">
      <alignment horizontal="left"/>
    </xf>
    <xf numFmtId="1" fontId="22" fillId="0" borderId="25" xfId="0" applyNumberFormat="1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1" fontId="23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2" fillId="0" borderId="0" xfId="0" applyFont="1"/>
    <xf numFmtId="0" fontId="22" fillId="0" borderId="28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1" fontId="22" fillId="0" borderId="8" xfId="0" applyNumberFormat="1" applyFont="1" applyBorder="1" applyAlignment="1">
      <alignment horizontal="left" vertical="center"/>
    </xf>
    <xf numFmtId="1" fontId="22" fillId="0" borderId="9" xfId="0" applyNumberFormat="1" applyFont="1" applyBorder="1" applyAlignment="1">
      <alignment horizontal="left" vertical="center"/>
    </xf>
    <xf numFmtId="1" fontId="22" fillId="0" borderId="6" xfId="0" applyNumberFormat="1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1" fontId="22" fillId="0" borderId="28" xfId="0" applyNumberFormat="1" applyFont="1" applyBorder="1" applyAlignment="1">
      <alignment horizontal="left" vertical="center"/>
    </xf>
    <xf numFmtId="1" fontId="22" fillId="0" borderId="29" xfId="0" applyNumberFormat="1" applyFont="1" applyBorder="1" applyAlignment="1">
      <alignment horizontal="left" vertical="center"/>
    </xf>
    <xf numFmtId="1" fontId="23" fillId="0" borderId="8" xfId="0" applyNumberFormat="1" applyFont="1" applyBorder="1" applyAlignment="1">
      <alignment horizontal="left"/>
    </xf>
    <xf numFmtId="1" fontId="23" fillId="0" borderId="0" xfId="0" applyNumberFormat="1" applyFont="1"/>
    <xf numFmtId="1" fontId="15" fillId="0" borderId="4" xfId="0" applyNumberFormat="1" applyFont="1" applyBorder="1" applyAlignment="1">
      <alignment horizontal="left"/>
    </xf>
    <xf numFmtId="1" fontId="24" fillId="0" borderId="4" xfId="0" applyNumberFormat="1" applyFont="1" applyBorder="1" applyAlignment="1">
      <alignment horizontal="left"/>
    </xf>
    <xf numFmtId="1" fontId="15" fillId="0" borderId="30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left" vertical="center"/>
    </xf>
    <xf numFmtId="1" fontId="19" fillId="0" borderId="2" xfId="0" applyNumberFormat="1" applyFont="1" applyBorder="1" applyAlignment="1">
      <alignment horizontal="left" vertical="center"/>
    </xf>
    <xf numFmtId="1" fontId="19" fillId="0" borderId="3" xfId="0" applyNumberFormat="1" applyFont="1" applyBorder="1" applyAlignment="1">
      <alignment horizontal="left" vertical="center"/>
    </xf>
    <xf numFmtId="1" fontId="19" fillId="0" borderId="2" xfId="0" applyNumberFormat="1" applyFont="1" applyBorder="1" applyAlignment="1">
      <alignment horizontal="left"/>
    </xf>
    <xf numFmtId="1" fontId="19" fillId="0" borderId="3" xfId="0" applyNumberFormat="1" applyFont="1" applyBorder="1" applyAlignment="1">
      <alignment horizontal="left"/>
    </xf>
    <xf numFmtId="1" fontId="19" fillId="0" borderId="2" xfId="2" applyNumberFormat="1" applyFont="1" applyBorder="1" applyAlignment="1">
      <alignment horizontal="left"/>
    </xf>
    <xf numFmtId="1" fontId="19" fillId="0" borderId="2" xfId="0" applyNumberFormat="1" applyFont="1" applyFill="1" applyBorder="1" applyAlignment="1">
      <alignment horizontal="left"/>
    </xf>
    <xf numFmtId="1" fontId="19" fillId="0" borderId="3" xfId="0" applyNumberFormat="1" applyFont="1" applyFill="1" applyBorder="1" applyAlignment="1">
      <alignment horizontal="left"/>
    </xf>
    <xf numFmtId="1" fontId="19" fillId="0" borderId="1" xfId="1" applyNumberFormat="1" applyFont="1" applyBorder="1" applyAlignment="1">
      <alignment horizontal="left"/>
    </xf>
    <xf numFmtId="1" fontId="19" fillId="0" borderId="2" xfId="1" applyNumberFormat="1" applyFont="1" applyBorder="1" applyAlignment="1">
      <alignment horizontal="left"/>
    </xf>
    <xf numFmtId="1" fontId="19" fillId="0" borderId="3" xfId="1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left"/>
    </xf>
    <xf numFmtId="1" fontId="20" fillId="0" borderId="1" xfId="0" applyNumberFormat="1" applyFont="1" applyBorder="1" applyAlignment="1">
      <alignment horizontal="left" vertical="center"/>
    </xf>
    <xf numFmtId="1" fontId="20" fillId="0" borderId="15" xfId="0" applyNumberFormat="1" applyFont="1" applyBorder="1" applyAlignment="1">
      <alignment horizontal="left" vertical="center"/>
    </xf>
    <xf numFmtId="1" fontId="18" fillId="0" borderId="0" xfId="0" applyNumberFormat="1" applyFont="1" applyBorder="1" applyAlignment="1">
      <alignment horizontal="left"/>
    </xf>
    <xf numFmtId="1" fontId="20" fillId="0" borderId="2" xfId="0" applyNumberFormat="1" applyFont="1" applyBorder="1" applyAlignment="1">
      <alignment horizontal="left"/>
    </xf>
    <xf numFmtId="1" fontId="15" fillId="0" borderId="31" xfId="0" applyNumberFormat="1" applyFont="1" applyBorder="1" applyAlignment="1">
      <alignment horizontal="left"/>
    </xf>
    <xf numFmtId="1" fontId="20" fillId="0" borderId="18" xfId="0" applyNumberFormat="1" applyFont="1" applyBorder="1" applyAlignment="1">
      <alignment horizontal="left" vertical="center"/>
    </xf>
    <xf numFmtId="1" fontId="19" fillId="0" borderId="21" xfId="2" applyNumberFormat="1" applyFont="1" applyBorder="1" applyAlignment="1">
      <alignment horizontal="left"/>
    </xf>
    <xf numFmtId="1" fontId="19" fillId="0" borderId="21" xfId="0" applyNumberFormat="1" applyFont="1" applyBorder="1" applyAlignment="1">
      <alignment horizontal="left"/>
    </xf>
    <xf numFmtId="1" fontId="19" fillId="0" borderId="19" xfId="0" applyNumberFormat="1" applyFont="1" applyBorder="1" applyAlignment="1">
      <alignment horizontal="left"/>
    </xf>
    <xf numFmtId="1" fontId="19" fillId="0" borderId="21" xfId="0" applyNumberFormat="1" applyFont="1" applyFill="1" applyBorder="1" applyAlignment="1">
      <alignment horizontal="left"/>
    </xf>
    <xf numFmtId="1" fontId="19" fillId="0" borderId="19" xfId="0" applyNumberFormat="1" applyFont="1" applyFill="1" applyBorder="1" applyAlignment="1">
      <alignment horizontal="left"/>
    </xf>
    <xf numFmtId="1" fontId="19" fillId="0" borderId="21" xfId="1" applyNumberFormat="1" applyFont="1" applyBorder="1" applyAlignment="1">
      <alignment horizontal="left"/>
    </xf>
    <xf numFmtId="1" fontId="19" fillId="0" borderId="19" xfId="1" applyNumberFormat="1" applyFont="1" applyBorder="1" applyAlignment="1">
      <alignment horizontal="left"/>
    </xf>
    <xf numFmtId="1" fontId="19" fillId="0" borderId="21" xfId="0" applyNumberFormat="1" applyFont="1" applyBorder="1" applyAlignment="1">
      <alignment horizontal="left" vertical="center"/>
    </xf>
    <xf numFmtId="1" fontId="19" fillId="0" borderId="19" xfId="0" applyNumberFormat="1" applyFont="1" applyBorder="1" applyAlignment="1">
      <alignment horizontal="left" vertical="center"/>
    </xf>
    <xf numFmtId="1" fontId="19" fillId="0" borderId="18" xfId="0" applyNumberFormat="1" applyFont="1" applyBorder="1" applyAlignment="1">
      <alignment horizontal="left"/>
    </xf>
    <xf numFmtId="1" fontId="20" fillId="0" borderId="32" xfId="0" applyNumberFormat="1" applyFont="1" applyBorder="1" applyAlignment="1">
      <alignment horizontal="left" vertical="center"/>
    </xf>
    <xf numFmtId="1" fontId="14" fillId="0" borderId="8" xfId="0" applyNumberFormat="1" applyFont="1" applyBorder="1" applyAlignment="1">
      <alignment horizontal="left"/>
    </xf>
    <xf numFmtId="1" fontId="13" fillId="0" borderId="4" xfId="0" applyNumberFormat="1" applyFont="1" applyBorder="1" applyAlignment="1">
      <alignment horizontal="left" vertical="center"/>
    </xf>
    <xf numFmtId="1" fontId="13" fillId="0" borderId="1" xfId="1" applyNumberFormat="1" applyFont="1" applyBorder="1" applyAlignment="1">
      <alignment horizontal="left"/>
    </xf>
    <xf numFmtId="1" fontId="5" fillId="0" borderId="2" xfId="2" applyNumberFormat="1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1" fontId="5" fillId="0" borderId="2" xfId="0" applyNumberFormat="1" applyFont="1" applyFill="1" applyBorder="1" applyAlignment="1">
      <alignment horizontal="left"/>
    </xf>
    <xf numFmtId="1" fontId="5" fillId="0" borderId="2" xfId="1" applyNumberFormat="1" applyFont="1" applyBorder="1" applyAlignment="1">
      <alignment horizontal="left"/>
    </xf>
    <xf numFmtId="2" fontId="13" fillId="0" borderId="4" xfId="0" applyNumberFormat="1" applyFont="1" applyBorder="1" applyAlignment="1">
      <alignment horizontal="left"/>
    </xf>
    <xf numFmtId="2" fontId="13" fillId="0" borderId="2" xfId="1" applyNumberFormat="1" applyFont="1" applyBorder="1" applyAlignment="1">
      <alignment horizontal="left"/>
    </xf>
    <xf numFmtId="173" fontId="13" fillId="0" borderId="2" xfId="2" applyNumberFormat="1" applyFont="1" applyBorder="1" applyAlignment="1">
      <alignment horizontal="left"/>
    </xf>
    <xf numFmtId="1" fontId="13" fillId="0" borderId="0" xfId="0" applyNumberFormat="1" applyFont="1" applyFill="1" applyAlignment="1">
      <alignment horizontal="left"/>
    </xf>
    <xf numFmtId="1" fontId="13" fillId="0" borderId="0" xfId="0" applyNumberFormat="1" applyFont="1"/>
    <xf numFmtId="1" fontId="5" fillId="0" borderId="3" xfId="2" applyNumberFormat="1" applyFont="1" applyBorder="1" applyAlignment="1">
      <alignment horizontal="left"/>
    </xf>
    <xf numFmtId="1" fontId="13" fillId="0" borderId="11" xfId="0" applyNumberFormat="1" applyFont="1" applyBorder="1" applyAlignment="1">
      <alignment horizontal="left"/>
    </xf>
    <xf numFmtId="1" fontId="13" fillId="0" borderId="12" xfId="0" applyNumberFormat="1" applyFont="1" applyBorder="1" applyAlignment="1">
      <alignment horizontal="left"/>
    </xf>
    <xf numFmtId="0" fontId="22" fillId="0" borderId="33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1" fontId="23" fillId="0" borderId="5" xfId="0" applyNumberFormat="1" applyFont="1" applyFill="1" applyBorder="1" applyAlignment="1">
      <alignment horizontal="left"/>
    </xf>
    <xf numFmtId="1" fontId="23" fillId="0" borderId="20" xfId="0" applyNumberFormat="1" applyFont="1" applyFill="1" applyBorder="1" applyAlignment="1">
      <alignment horizontal="left"/>
    </xf>
    <xf numFmtId="0" fontId="22" fillId="0" borderId="36" xfId="0" applyFont="1" applyBorder="1" applyAlignment="1">
      <alignment horizontal="left" vertical="center"/>
    </xf>
    <xf numFmtId="1" fontId="15" fillId="0" borderId="35" xfId="0" applyNumberFormat="1" applyFont="1" applyBorder="1" applyAlignment="1">
      <alignment horizontal="left"/>
    </xf>
    <xf numFmtId="1" fontId="15" fillId="0" borderId="3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15" fillId="0" borderId="38" xfId="0" applyFont="1" applyBorder="1" applyAlignment="1">
      <alignment horizontal="left"/>
    </xf>
    <xf numFmtId="2" fontId="20" fillId="0" borderId="15" xfId="0" applyNumberFormat="1" applyFont="1" applyBorder="1" applyAlignment="1">
      <alignment horizontal="left"/>
    </xf>
    <xf numFmtId="0" fontId="15" fillId="0" borderId="32" xfId="0" applyFont="1" applyBorder="1" applyAlignment="1">
      <alignment horizontal="left"/>
    </xf>
    <xf numFmtId="2" fontId="19" fillId="0" borderId="18" xfId="0" applyNumberFormat="1" applyFont="1" applyBorder="1" applyAlignment="1">
      <alignment horizontal="left"/>
    </xf>
    <xf numFmtId="2" fontId="19" fillId="0" borderId="21" xfId="0" applyNumberFormat="1" applyFont="1" applyBorder="1" applyAlignment="1">
      <alignment horizontal="left"/>
    </xf>
    <xf numFmtId="2" fontId="19" fillId="0" borderId="39" xfId="0" applyNumberFormat="1" applyFont="1" applyBorder="1" applyAlignment="1">
      <alignment horizontal="left"/>
    </xf>
    <xf numFmtId="2" fontId="19" fillId="0" borderId="19" xfId="0" applyNumberFormat="1" applyFont="1" applyBorder="1" applyAlignment="1">
      <alignment horizontal="left"/>
    </xf>
    <xf numFmtId="2" fontId="19" fillId="0" borderId="21" xfId="0" applyNumberFormat="1" applyFont="1" applyFill="1" applyBorder="1" applyAlignment="1">
      <alignment horizontal="left"/>
    </xf>
    <xf numFmtId="2" fontId="19" fillId="0" borderId="19" xfId="0" applyNumberFormat="1" applyFont="1" applyFill="1" applyBorder="1" applyAlignment="1">
      <alignment horizontal="left"/>
    </xf>
    <xf numFmtId="2" fontId="19" fillId="0" borderId="21" xfId="1" applyNumberFormat="1" applyFont="1" applyBorder="1" applyAlignment="1">
      <alignment horizontal="left"/>
    </xf>
    <xf numFmtId="2" fontId="20" fillId="0" borderId="20" xfId="0" applyNumberFormat="1" applyFont="1" applyBorder="1" applyAlignment="1">
      <alignment horizontal="left"/>
    </xf>
    <xf numFmtId="2" fontId="20" fillId="0" borderId="18" xfId="0" applyNumberFormat="1" applyFont="1" applyBorder="1" applyAlignment="1">
      <alignment horizontal="left"/>
    </xf>
    <xf numFmtId="2" fontId="20" fillId="0" borderId="32" xfId="0" applyNumberFormat="1" applyFont="1" applyBorder="1" applyAlignment="1">
      <alignment horizontal="left"/>
    </xf>
    <xf numFmtId="2" fontId="19" fillId="0" borderId="40" xfId="0" applyNumberFormat="1" applyFont="1" applyBorder="1" applyAlignment="1">
      <alignment horizontal="left"/>
    </xf>
    <xf numFmtId="2" fontId="19" fillId="0" borderId="41" xfId="0" applyNumberFormat="1" applyFont="1" applyBorder="1" applyAlignment="1">
      <alignment horizontal="left"/>
    </xf>
    <xf numFmtId="2" fontId="19" fillId="0" borderId="42" xfId="0" applyNumberFormat="1" applyFont="1" applyBorder="1" applyAlignment="1">
      <alignment horizontal="left"/>
    </xf>
    <xf numFmtId="2" fontId="19" fillId="0" borderId="43" xfId="0" applyNumberFormat="1" applyFont="1" applyBorder="1" applyAlignment="1">
      <alignment horizontal="left"/>
    </xf>
    <xf numFmtId="2" fontId="19" fillId="0" borderId="41" xfId="0" applyNumberFormat="1" applyFont="1" applyFill="1" applyBorder="1" applyAlignment="1">
      <alignment horizontal="left"/>
    </xf>
    <xf numFmtId="2" fontId="19" fillId="0" borderId="43" xfId="0" applyNumberFormat="1" applyFont="1" applyFill="1" applyBorder="1" applyAlignment="1">
      <alignment horizontal="left"/>
    </xf>
    <xf numFmtId="2" fontId="19" fillId="0" borderId="41" xfId="1" applyNumberFormat="1" applyFont="1" applyBorder="1" applyAlignment="1">
      <alignment horizontal="left"/>
    </xf>
    <xf numFmtId="2" fontId="20" fillId="0" borderId="44" xfId="0" applyNumberFormat="1" applyFont="1" applyBorder="1" applyAlignment="1">
      <alignment horizontal="left"/>
    </xf>
    <xf numFmtId="2" fontId="20" fillId="0" borderId="40" xfId="0" applyNumberFormat="1" applyFont="1" applyBorder="1" applyAlignment="1">
      <alignment horizontal="left"/>
    </xf>
    <xf numFmtId="2" fontId="20" fillId="0" borderId="45" xfId="0" applyNumberFormat="1" applyFont="1" applyBorder="1" applyAlignment="1">
      <alignment horizontal="left"/>
    </xf>
    <xf numFmtId="2" fontId="13" fillId="0" borderId="21" xfId="0" applyNumberFormat="1" applyFont="1" applyBorder="1" applyAlignment="1">
      <alignment horizontal="left" vertical="center"/>
    </xf>
    <xf numFmtId="2" fontId="13" fillId="0" borderId="39" xfId="0" applyNumberFormat="1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2" fontId="13" fillId="0" borderId="21" xfId="0" applyNumberFormat="1" applyFont="1" applyBorder="1" applyAlignment="1">
      <alignment horizontal="left"/>
    </xf>
    <xf numFmtId="2" fontId="13" fillId="0" borderId="19" xfId="0" applyNumberFormat="1" applyFont="1" applyBorder="1" applyAlignment="1">
      <alignment horizontal="left"/>
    </xf>
    <xf numFmtId="172" fontId="15" fillId="0" borderId="21" xfId="0" applyNumberFormat="1" applyFont="1" applyBorder="1" applyAlignment="1">
      <alignment horizontal="left"/>
    </xf>
    <xf numFmtId="0" fontId="23" fillId="0" borderId="45" xfId="0" applyFont="1" applyBorder="1" applyAlignment="1">
      <alignment horizontal="left"/>
    </xf>
    <xf numFmtId="2" fontId="14" fillId="0" borderId="41" xfId="0" applyNumberFormat="1" applyFont="1" applyBorder="1" applyAlignment="1">
      <alignment horizontal="left" vertical="center"/>
    </xf>
    <xf numFmtId="2" fontId="14" fillId="0" borderId="42" xfId="0" applyNumberFormat="1" applyFont="1" applyBorder="1" applyAlignment="1">
      <alignment horizontal="left" vertical="center"/>
    </xf>
    <xf numFmtId="0" fontId="14" fillId="0" borderId="41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2" fontId="14" fillId="0" borderId="41" xfId="0" applyNumberFormat="1" applyFont="1" applyBorder="1" applyAlignment="1">
      <alignment horizontal="left"/>
    </xf>
    <xf numFmtId="2" fontId="14" fillId="0" borderId="43" xfId="0" applyNumberFormat="1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0" borderId="43" xfId="0" applyFont="1" applyBorder="1" applyAlignment="1">
      <alignment horizontal="left"/>
    </xf>
    <xf numFmtId="1" fontId="18" fillId="0" borderId="0" xfId="0" applyNumberFormat="1" applyFont="1" applyFill="1" applyAlignment="1">
      <alignment horizontal="left"/>
    </xf>
    <xf numFmtId="1" fontId="16" fillId="0" borderId="15" xfId="0" applyNumberFormat="1" applyFont="1" applyFill="1" applyBorder="1" applyAlignment="1">
      <alignment horizontal="left" vertical="center" wrapText="1"/>
    </xf>
    <xf numFmtId="1" fontId="16" fillId="0" borderId="15" xfId="0" applyNumberFormat="1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left" vertical="top" wrapText="1"/>
    </xf>
    <xf numFmtId="1" fontId="5" fillId="0" borderId="15" xfId="0" applyNumberFormat="1" applyFont="1" applyFill="1" applyBorder="1" applyAlignment="1">
      <alignment horizontal="left" vertical="top" wrapText="1"/>
    </xf>
    <xf numFmtId="1" fontId="5" fillId="0" borderId="46" xfId="0" applyNumberFormat="1" applyFont="1" applyFill="1" applyBorder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left" wrapText="1"/>
    </xf>
    <xf numFmtId="1" fontId="13" fillId="0" borderId="2" xfId="0" applyNumberFormat="1" applyFont="1" applyFill="1" applyBorder="1" applyAlignment="1">
      <alignment horizontal="left" vertical="top" shrinkToFit="1"/>
    </xf>
    <xf numFmtId="1" fontId="13" fillId="0" borderId="2" xfId="0" applyNumberFormat="1" applyFont="1" applyFill="1" applyBorder="1" applyAlignment="1">
      <alignment horizontal="left" vertical="top" wrapText="1"/>
    </xf>
    <xf numFmtId="1" fontId="14" fillId="0" borderId="2" xfId="0" applyNumberFormat="1" applyFont="1" applyFill="1" applyBorder="1" applyAlignment="1">
      <alignment horizontal="left" vertical="top" shrinkToFit="1"/>
    </xf>
    <xf numFmtId="1" fontId="13" fillId="0" borderId="3" xfId="0" applyNumberFormat="1" applyFont="1" applyFill="1" applyBorder="1" applyAlignment="1">
      <alignment horizontal="left" wrapText="1"/>
    </xf>
    <xf numFmtId="1" fontId="13" fillId="0" borderId="3" xfId="0" applyNumberFormat="1" applyFont="1" applyFill="1" applyBorder="1" applyAlignment="1">
      <alignment horizontal="left" vertical="top" shrinkToFit="1"/>
    </xf>
    <xf numFmtId="1" fontId="13" fillId="0" borderId="3" xfId="0" applyNumberFormat="1" applyFont="1" applyFill="1" applyBorder="1" applyAlignment="1">
      <alignment horizontal="left" vertical="top" wrapText="1"/>
    </xf>
    <xf numFmtId="1" fontId="14" fillId="0" borderId="3" xfId="0" applyNumberFormat="1" applyFont="1" applyFill="1" applyBorder="1" applyAlignment="1">
      <alignment horizontal="left" vertical="top" shrinkToFit="1"/>
    </xf>
    <xf numFmtId="1" fontId="14" fillId="0" borderId="11" xfId="0" applyNumberFormat="1" applyFont="1" applyFill="1" applyBorder="1" applyAlignment="1">
      <alignment horizontal="left" vertical="top" shrinkToFit="1"/>
    </xf>
    <xf numFmtId="1" fontId="14" fillId="0" borderId="12" xfId="0" applyNumberFormat="1" applyFont="1" applyFill="1" applyBorder="1" applyAlignment="1">
      <alignment horizontal="left" vertical="top" shrinkToFit="1"/>
    </xf>
    <xf numFmtId="1" fontId="5" fillId="0" borderId="3" xfId="0" applyNumberFormat="1" applyFont="1" applyFill="1" applyBorder="1" applyAlignment="1">
      <alignment horizontal="left"/>
    </xf>
    <xf numFmtId="1" fontId="13" fillId="0" borderId="15" xfId="1" applyNumberFormat="1" applyFont="1" applyBorder="1" applyAlignment="1">
      <alignment horizontal="left"/>
    </xf>
    <xf numFmtId="1" fontId="5" fillId="0" borderId="3" xfId="1" applyNumberFormat="1" applyFont="1" applyBorder="1" applyAlignment="1">
      <alignment horizontal="left"/>
    </xf>
    <xf numFmtId="2" fontId="13" fillId="0" borderId="3" xfId="1" applyNumberFormat="1" applyFont="1" applyBorder="1" applyAlignment="1">
      <alignment horizontal="left"/>
    </xf>
    <xf numFmtId="1" fontId="13" fillId="0" borderId="0" xfId="0" applyNumberFormat="1" applyFont="1" applyBorder="1" applyAlignment="1">
      <alignment horizontal="left"/>
    </xf>
    <xf numFmtId="1" fontId="13" fillId="0" borderId="13" xfId="0" applyNumberFormat="1" applyFont="1" applyBorder="1" applyAlignment="1">
      <alignment horizontal="left"/>
    </xf>
    <xf numFmtId="2" fontId="13" fillId="0" borderId="11" xfId="1" applyNumberFormat="1" applyFont="1" applyBorder="1" applyAlignment="1">
      <alignment horizontal="left"/>
    </xf>
    <xf numFmtId="2" fontId="13" fillId="0" borderId="12" xfId="1" applyNumberFormat="1" applyFont="1" applyBorder="1" applyAlignment="1">
      <alignment horizontal="left"/>
    </xf>
    <xf numFmtId="2" fontId="14" fillId="0" borderId="34" xfId="0" applyNumberFormat="1" applyFont="1" applyBorder="1" applyAlignment="1">
      <alignment horizontal="left"/>
    </xf>
    <xf numFmtId="2" fontId="13" fillId="0" borderId="34" xfId="0" applyNumberFormat="1" applyFont="1" applyBorder="1" applyAlignment="1">
      <alignment horizontal="left"/>
    </xf>
    <xf numFmtId="2" fontId="13" fillId="0" borderId="35" xfId="0" applyNumberFormat="1" applyFont="1" applyBorder="1" applyAlignment="1">
      <alignment horizontal="left"/>
    </xf>
    <xf numFmtId="2" fontId="14" fillId="0" borderId="28" xfId="0" applyNumberFormat="1" applyFont="1" applyBorder="1" applyAlignment="1">
      <alignment horizontal="left" vertical="center"/>
    </xf>
    <xf numFmtId="2" fontId="14" fillId="0" borderId="6" xfId="0" applyNumberFormat="1" applyFont="1" applyBorder="1" applyAlignment="1">
      <alignment horizontal="left" vertical="center"/>
    </xf>
    <xf numFmtId="2" fontId="14" fillId="0" borderId="8" xfId="0" applyNumberFormat="1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1" fillId="0" borderId="15" xfId="0" applyFont="1" applyBorder="1" applyAlignment="1">
      <alignment horizontal="left"/>
    </xf>
    <xf numFmtId="1" fontId="14" fillId="0" borderId="15" xfId="0" applyNumberFormat="1" applyFont="1" applyBorder="1" applyAlignment="1">
      <alignment horizontal="left" vertical="center"/>
    </xf>
    <xf numFmtId="1" fontId="14" fillId="0" borderId="16" xfId="0" applyNumberFormat="1" applyFont="1" applyBorder="1" applyAlignment="1">
      <alignment horizontal="left" vertical="center"/>
    </xf>
    <xf numFmtId="1" fontId="13" fillId="0" borderId="16" xfId="0" applyNumberFormat="1" applyFont="1" applyBorder="1" applyAlignment="1">
      <alignment horizontal="left" vertical="center"/>
    </xf>
    <xf numFmtId="2" fontId="13" fillId="0" borderId="16" xfId="0" applyNumberFormat="1" applyFont="1" applyBorder="1" applyAlignment="1">
      <alignment horizontal="left" vertical="center"/>
    </xf>
    <xf numFmtId="1" fontId="14" fillId="0" borderId="47" xfId="0" applyNumberFormat="1" applyFont="1" applyBorder="1" applyAlignment="1">
      <alignment horizontal="left" vertical="center"/>
    </xf>
    <xf numFmtId="1" fontId="14" fillId="0" borderId="48" xfId="0" applyNumberFormat="1" applyFont="1" applyBorder="1" applyAlignment="1">
      <alignment horizontal="left" vertical="center"/>
    </xf>
    <xf numFmtId="1" fontId="13" fillId="0" borderId="16" xfId="0" applyNumberFormat="1" applyFont="1" applyBorder="1" applyAlignment="1">
      <alignment horizontal="left"/>
    </xf>
    <xf numFmtId="173" fontId="13" fillId="0" borderId="3" xfId="2" applyNumberFormat="1" applyFont="1" applyBorder="1" applyAlignment="1">
      <alignment horizontal="left"/>
    </xf>
    <xf numFmtId="1" fontId="13" fillId="0" borderId="11" xfId="2" applyNumberFormat="1" applyFont="1" applyBorder="1" applyAlignment="1">
      <alignment horizontal="left"/>
    </xf>
    <xf numFmtId="1" fontId="13" fillId="0" borderId="12" xfId="2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2" fontId="16" fillId="0" borderId="38" xfId="0" applyNumberFormat="1" applyFont="1" applyFill="1" applyBorder="1" applyAlignment="1">
      <alignment horizontal="left" vertical="center" wrapText="1"/>
    </xf>
    <xf numFmtId="2" fontId="13" fillId="0" borderId="49" xfId="0" applyNumberFormat="1" applyFont="1" applyBorder="1" applyAlignment="1">
      <alignment horizontal="left"/>
    </xf>
    <xf numFmtId="2" fontId="13" fillId="0" borderId="50" xfId="0" applyNumberFormat="1" applyFont="1" applyBorder="1" applyAlignment="1">
      <alignment horizontal="left"/>
    </xf>
    <xf numFmtId="2" fontId="13" fillId="0" borderId="34" xfId="2" applyNumberFormat="1" applyFont="1" applyBorder="1" applyAlignment="1">
      <alignment horizontal="left"/>
    </xf>
    <xf numFmtId="2" fontId="13" fillId="0" borderId="35" xfId="2" applyNumberFormat="1" applyFont="1" applyBorder="1" applyAlignment="1">
      <alignment horizontal="left"/>
    </xf>
    <xf numFmtId="2" fontId="13" fillId="0" borderId="34" xfId="0" applyNumberFormat="1" applyFont="1" applyFill="1" applyBorder="1" applyAlignment="1">
      <alignment horizontal="left" vertical="center" wrapText="1"/>
    </xf>
    <xf numFmtId="2" fontId="13" fillId="0" borderId="35" xfId="0" applyNumberFormat="1" applyFont="1" applyFill="1" applyBorder="1" applyAlignment="1">
      <alignment horizontal="left" vertical="center" wrapText="1"/>
    </xf>
    <xf numFmtId="2" fontId="13" fillId="0" borderId="34" xfId="0" applyNumberFormat="1" applyFont="1" applyFill="1" applyBorder="1" applyAlignment="1">
      <alignment horizontal="left"/>
    </xf>
    <xf numFmtId="2" fontId="13" fillId="0" borderId="35" xfId="0" applyNumberFormat="1" applyFont="1" applyFill="1" applyBorder="1" applyAlignment="1">
      <alignment horizontal="left"/>
    </xf>
    <xf numFmtId="2" fontId="13" fillId="0" borderId="34" xfId="1" applyNumberFormat="1" applyFont="1" applyBorder="1" applyAlignment="1">
      <alignment horizontal="left"/>
    </xf>
    <xf numFmtId="2" fontId="13" fillId="0" borderId="35" xfId="1" applyNumberFormat="1" applyFont="1" applyBorder="1" applyAlignment="1">
      <alignment horizontal="left"/>
    </xf>
    <xf numFmtId="2" fontId="14" fillId="0" borderId="35" xfId="0" applyNumberFormat="1" applyFont="1" applyBorder="1" applyAlignment="1">
      <alignment horizontal="left"/>
    </xf>
    <xf numFmtId="2" fontId="13" fillId="0" borderId="33" xfId="0" applyNumberFormat="1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172" fontId="16" fillId="0" borderId="2" xfId="0" applyNumberFormat="1" applyFont="1" applyBorder="1" applyAlignment="1">
      <alignment horizontal="left"/>
    </xf>
    <xf numFmtId="3" fontId="16" fillId="0" borderId="34" xfId="0" applyNumberFormat="1" applyFont="1" applyBorder="1" applyAlignment="1">
      <alignment horizontal="left"/>
    </xf>
    <xf numFmtId="3" fontId="16" fillId="0" borderId="35" xfId="0" applyNumberFormat="1" applyFont="1" applyBorder="1" applyAlignment="1">
      <alignment horizontal="left"/>
    </xf>
    <xf numFmtId="172" fontId="16" fillId="0" borderId="3" xfId="0" applyNumberFormat="1" applyFont="1" applyBorder="1" applyAlignment="1">
      <alignment horizontal="left"/>
    </xf>
    <xf numFmtId="1" fontId="13" fillId="0" borderId="29" xfId="0" applyNumberFormat="1" applyFont="1" applyBorder="1" applyAlignment="1">
      <alignment horizontal="left"/>
    </xf>
    <xf numFmtId="1" fontId="21" fillId="0" borderId="14" xfId="0" applyNumberFormat="1" applyFont="1" applyBorder="1" applyAlignment="1">
      <alignment horizontal="left"/>
    </xf>
    <xf numFmtId="2" fontId="14" fillId="0" borderId="51" xfId="0" applyNumberFormat="1" applyFont="1" applyBorder="1" applyAlignment="1">
      <alignment horizontal="left" vertical="center"/>
    </xf>
    <xf numFmtId="2" fontId="22" fillId="0" borderId="5" xfId="0" applyNumberFormat="1" applyFont="1" applyBorder="1" applyAlignment="1">
      <alignment horizontal="left" vertical="center"/>
    </xf>
    <xf numFmtId="1" fontId="19" fillId="0" borderId="39" xfId="1" applyNumberFormat="1" applyFont="1" applyBorder="1" applyAlignment="1">
      <alignment horizontal="left"/>
    </xf>
    <xf numFmtId="1" fontId="19" fillId="0" borderId="4" xfId="2" applyNumberFormat="1" applyFont="1" applyBorder="1" applyAlignment="1">
      <alignment horizontal="left"/>
    </xf>
    <xf numFmtId="1" fontId="19" fillId="0" borderId="4" xfId="0" applyNumberFormat="1" applyFont="1" applyBorder="1" applyAlignment="1">
      <alignment horizontal="left"/>
    </xf>
    <xf numFmtId="1" fontId="19" fillId="0" borderId="39" xfId="2" applyNumberFormat="1" applyFont="1" applyBorder="1" applyAlignment="1">
      <alignment horizontal="left"/>
    </xf>
    <xf numFmtId="1" fontId="19" fillId="0" borderId="39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2" fontId="13" fillId="0" borderId="6" xfId="0" applyNumberFormat="1" applyFont="1" applyBorder="1" applyAlignment="1">
      <alignment horizontal="left" vertical="center"/>
    </xf>
    <xf numFmtId="2" fontId="13" fillId="0" borderId="29" xfId="0" applyNumberFormat="1" applyFont="1" applyBorder="1" applyAlignment="1">
      <alignment horizontal="left" vertical="center"/>
    </xf>
    <xf numFmtId="2" fontId="19" fillId="0" borderId="28" xfId="0" applyNumberFormat="1" applyFont="1" applyBorder="1" applyAlignment="1">
      <alignment horizontal="left"/>
    </xf>
    <xf numFmtId="2" fontId="19" fillId="0" borderId="6" xfId="0" applyNumberFormat="1" applyFont="1" applyBorder="1" applyAlignment="1">
      <alignment horizontal="left"/>
    </xf>
    <xf numFmtId="2" fontId="19" fillId="0" borderId="29" xfId="0" applyNumberFormat="1" applyFont="1" applyBorder="1" applyAlignment="1">
      <alignment horizontal="left"/>
    </xf>
    <xf numFmtId="2" fontId="19" fillId="0" borderId="8" xfId="0" applyNumberFormat="1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2" fontId="13" fillId="0" borderId="6" xfId="2" applyNumberFormat="1" applyFont="1" applyBorder="1" applyAlignment="1">
      <alignment horizontal="left"/>
    </xf>
    <xf numFmtId="2" fontId="13" fillId="0" borderId="8" xfId="2" applyNumberFormat="1" applyFont="1" applyBorder="1" applyAlignment="1">
      <alignment horizontal="left"/>
    </xf>
    <xf numFmtId="172" fontId="15" fillId="0" borderId="6" xfId="0" applyNumberFormat="1" applyFont="1" applyBorder="1" applyAlignment="1">
      <alignment horizontal="left"/>
    </xf>
    <xf numFmtId="2" fontId="19" fillId="0" borderId="6" xfId="0" applyNumberFormat="1" applyFont="1" applyFill="1" applyBorder="1" applyAlignment="1">
      <alignment horizontal="left"/>
    </xf>
    <xf numFmtId="2" fontId="19" fillId="0" borderId="8" xfId="0" applyNumberFormat="1" applyFont="1" applyFill="1" applyBorder="1" applyAlignment="1">
      <alignment horizontal="left"/>
    </xf>
    <xf numFmtId="2" fontId="19" fillId="0" borderId="6" xfId="1" applyNumberFormat="1" applyFont="1" applyBorder="1" applyAlignment="1">
      <alignment horizontal="left"/>
    </xf>
    <xf numFmtId="2" fontId="20" fillId="0" borderId="9" xfId="0" applyNumberFormat="1" applyFont="1" applyBorder="1" applyAlignment="1">
      <alignment horizontal="left"/>
    </xf>
    <xf numFmtId="2" fontId="20" fillId="0" borderId="28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3" fillId="0" borderId="53" xfId="0" applyFont="1" applyBorder="1" applyAlignment="1">
      <alignment horizontal="left"/>
    </xf>
    <xf numFmtId="1" fontId="22" fillId="0" borderId="36" xfId="0" applyNumberFormat="1" applyFont="1" applyBorder="1" applyAlignment="1">
      <alignment horizontal="left"/>
    </xf>
    <xf numFmtId="1" fontId="22" fillId="0" borderId="0" xfId="0" applyNumberFormat="1" applyFont="1" applyBorder="1" applyAlignment="1">
      <alignment horizontal="left"/>
    </xf>
    <xf numFmtId="1" fontId="22" fillId="0" borderId="13" xfId="0" applyNumberFormat="1" applyFont="1" applyBorder="1" applyAlignment="1">
      <alignment horizontal="left"/>
    </xf>
    <xf numFmtId="1" fontId="23" fillId="0" borderId="19" xfId="1" applyNumberFormat="1" applyFont="1" applyBorder="1" applyAlignment="1">
      <alignment horizontal="left"/>
    </xf>
    <xf numFmtId="0" fontId="15" fillId="0" borderId="30" xfId="0" applyFont="1" applyBorder="1" applyAlignment="1">
      <alignment horizontal="left"/>
    </xf>
    <xf numFmtId="1" fontId="15" fillId="0" borderId="29" xfId="0" applyNumberFormat="1" applyFont="1" applyBorder="1" applyAlignment="1">
      <alignment horizontal="left"/>
    </xf>
    <xf numFmtId="0" fontId="15" fillId="0" borderId="52" xfId="0" applyFont="1" applyBorder="1" applyAlignment="1">
      <alignment horizontal="left"/>
    </xf>
    <xf numFmtId="0" fontId="22" fillId="0" borderId="10" xfId="0" applyFont="1" applyBorder="1" applyAlignment="1">
      <alignment horizontal="left" vertical="center"/>
    </xf>
    <xf numFmtId="0" fontId="23" fillId="0" borderId="8" xfId="0" applyFont="1" applyBorder="1" applyAlignment="1">
      <alignment horizontal="left"/>
    </xf>
    <xf numFmtId="1" fontId="23" fillId="0" borderId="1" xfId="0" applyNumberFormat="1" applyFont="1" applyBorder="1" applyAlignment="1">
      <alignment horizontal="left" vertical="center"/>
    </xf>
    <xf numFmtId="1" fontId="22" fillId="0" borderId="16" xfId="0" applyNumberFormat="1" applyFont="1" applyBorder="1" applyAlignment="1">
      <alignment horizontal="left" vertical="center"/>
    </xf>
    <xf numFmtId="2" fontId="22" fillId="0" borderId="16" xfId="0" applyNumberFormat="1" applyFont="1" applyBorder="1" applyAlignment="1">
      <alignment horizontal="left" vertical="center"/>
    </xf>
    <xf numFmtId="2" fontId="23" fillId="0" borderId="15" xfId="0" applyNumberFormat="1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1" fontId="23" fillId="0" borderId="5" xfId="1" applyNumberFormat="1" applyFont="1" applyBorder="1" applyAlignment="1">
      <alignment horizontal="left"/>
    </xf>
    <xf numFmtId="1" fontId="14" fillId="0" borderId="15" xfId="0" applyNumberFormat="1" applyFont="1" applyBorder="1" applyAlignment="1">
      <alignment horizontal="left" vertical="center"/>
    </xf>
    <xf numFmtId="1" fontId="13" fillId="0" borderId="4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7" fillId="0" borderId="54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7" fillId="0" borderId="47" xfId="0" applyFont="1" applyBorder="1" applyAlignment="1">
      <alignment horizontal="left"/>
    </xf>
    <xf numFmtId="0" fontId="27" fillId="0" borderId="55" xfId="0" applyFont="1" applyBorder="1" applyAlignment="1">
      <alignment horizontal="left"/>
    </xf>
    <xf numFmtId="0" fontId="27" fillId="0" borderId="0" xfId="0" applyFont="1" applyAlignment="1">
      <alignment horizontal="left"/>
    </xf>
    <xf numFmtId="2" fontId="25" fillId="0" borderId="1" xfId="0" applyNumberFormat="1" applyFont="1" applyBorder="1" applyAlignment="1">
      <alignment horizontal="left" vertical="center"/>
    </xf>
    <xf numFmtId="2" fontId="25" fillId="0" borderId="5" xfId="0" applyNumberFormat="1" applyFont="1" applyBorder="1" applyAlignment="1">
      <alignment horizontal="left" vertical="center"/>
    </xf>
    <xf numFmtId="2" fontId="25" fillId="0" borderId="16" xfId="0" applyNumberFormat="1" applyFont="1" applyBorder="1" applyAlignment="1">
      <alignment horizontal="left" vertical="center"/>
    </xf>
    <xf numFmtId="2" fontId="25" fillId="0" borderId="17" xfId="0" applyNumberFormat="1" applyFont="1" applyBorder="1" applyAlignment="1">
      <alignment horizontal="left" vertical="center"/>
    </xf>
    <xf numFmtId="2" fontId="25" fillId="0" borderId="2" xfId="0" applyNumberFormat="1" applyFont="1" applyBorder="1" applyAlignment="1">
      <alignment horizontal="left" vertical="center"/>
    </xf>
    <xf numFmtId="2" fontId="25" fillId="0" borderId="4" xfId="0" applyNumberFormat="1" applyFont="1" applyBorder="1" applyAlignment="1">
      <alignment horizontal="left" vertical="center"/>
    </xf>
    <xf numFmtId="2" fontId="25" fillId="0" borderId="3" xfId="0" applyNumberFormat="1" applyFont="1" applyBorder="1" applyAlignment="1">
      <alignment horizontal="left" vertical="center"/>
    </xf>
    <xf numFmtId="2" fontId="25" fillId="0" borderId="28" xfId="0" applyNumberFormat="1" applyFont="1" applyBorder="1" applyAlignment="1">
      <alignment horizontal="left" vertical="center"/>
    </xf>
    <xf numFmtId="2" fontId="25" fillId="0" borderId="1" xfId="1" applyNumberFormat="1" applyFont="1" applyBorder="1" applyAlignment="1">
      <alignment horizontal="left"/>
    </xf>
    <xf numFmtId="0" fontId="25" fillId="0" borderId="0" xfId="0" applyFont="1" applyAlignment="1">
      <alignment horizontal="left"/>
    </xf>
    <xf numFmtId="0" fontId="27" fillId="0" borderId="56" xfId="0" applyFont="1" applyBorder="1" applyAlignment="1">
      <alignment horizontal="left"/>
    </xf>
    <xf numFmtId="0" fontId="27" fillId="0" borderId="57" xfId="0" applyFont="1" applyBorder="1" applyAlignment="1">
      <alignment horizontal="left"/>
    </xf>
    <xf numFmtId="0" fontId="27" fillId="0" borderId="58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7" fillId="0" borderId="45" xfId="0" applyFont="1" applyBorder="1" applyAlignment="1">
      <alignment horizontal="left"/>
    </xf>
    <xf numFmtId="2" fontId="25" fillId="0" borderId="44" xfId="0" applyNumberFormat="1" applyFont="1" applyBorder="1" applyAlignment="1">
      <alignment horizontal="left" vertical="center"/>
    </xf>
    <xf numFmtId="2" fontId="25" fillId="0" borderId="49" xfId="0" applyNumberFormat="1" applyFont="1" applyBorder="1" applyAlignment="1">
      <alignment horizontal="left" vertical="center"/>
    </xf>
    <xf numFmtId="2" fontId="25" fillId="0" borderId="40" xfId="0" applyNumberFormat="1" applyFont="1" applyBorder="1" applyAlignment="1">
      <alignment horizontal="left" vertical="center"/>
    </xf>
    <xf numFmtId="2" fontId="25" fillId="0" borderId="50" xfId="0" applyNumberFormat="1" applyFont="1" applyBorder="1" applyAlignment="1">
      <alignment horizontal="left" vertical="center"/>
    </xf>
    <xf numFmtId="2" fontId="29" fillId="0" borderId="44" xfId="0" applyNumberFormat="1" applyFont="1" applyBorder="1" applyAlignment="1">
      <alignment horizontal="left"/>
    </xf>
    <xf numFmtId="2" fontId="29" fillId="0" borderId="40" xfId="1" applyNumberFormat="1" applyFont="1" applyBorder="1" applyAlignment="1">
      <alignment horizontal="left"/>
    </xf>
    <xf numFmtId="2" fontId="29" fillId="0" borderId="40" xfId="0" applyNumberFormat="1" applyFont="1" applyBorder="1" applyAlignment="1">
      <alignment horizontal="left"/>
    </xf>
    <xf numFmtId="2" fontId="29" fillId="0" borderId="45" xfId="0" applyNumberFormat="1" applyFont="1" applyBorder="1" applyAlignment="1">
      <alignment horizontal="left"/>
    </xf>
    <xf numFmtId="0" fontId="30" fillId="0" borderId="0" xfId="0" applyFont="1" applyAlignment="1">
      <alignment horizontal="left"/>
    </xf>
    <xf numFmtId="0" fontId="27" fillId="0" borderId="59" xfId="0" applyFont="1" applyBorder="1" applyAlignment="1">
      <alignment horizontal="left"/>
    </xf>
    <xf numFmtId="2" fontId="25" fillId="0" borderId="60" xfId="0" applyNumberFormat="1" applyFont="1" applyBorder="1" applyAlignment="1">
      <alignment horizontal="left" vertical="center"/>
    </xf>
    <xf numFmtId="2" fontId="25" fillId="0" borderId="57" xfId="0" applyNumberFormat="1" applyFont="1" applyBorder="1" applyAlignment="1">
      <alignment horizontal="left" vertical="center"/>
    </xf>
    <xf numFmtId="2" fontId="25" fillId="0" borderId="61" xfId="0" applyNumberFormat="1" applyFont="1" applyBorder="1" applyAlignment="1">
      <alignment horizontal="left" vertical="center"/>
    </xf>
    <xf numFmtId="2" fontId="25" fillId="0" borderId="58" xfId="0" applyNumberFormat="1" applyFont="1" applyBorder="1" applyAlignment="1">
      <alignment horizontal="left" vertical="center"/>
    </xf>
    <xf numFmtId="2" fontId="29" fillId="0" borderId="60" xfId="0" applyNumberFormat="1" applyFont="1" applyBorder="1" applyAlignment="1">
      <alignment horizontal="left"/>
    </xf>
    <xf numFmtId="2" fontId="29" fillId="0" borderId="61" xfId="0" applyNumberFormat="1" applyFont="1" applyBorder="1" applyAlignment="1">
      <alignment horizontal="left"/>
    </xf>
    <xf numFmtId="2" fontId="29" fillId="0" borderId="59" xfId="0" applyNumberFormat="1" applyFont="1" applyBorder="1" applyAlignment="1">
      <alignment horizontal="left"/>
    </xf>
    <xf numFmtId="0" fontId="23" fillId="0" borderId="0" xfId="0" applyFont="1"/>
    <xf numFmtId="0" fontId="13" fillId="0" borderId="0" xfId="0" applyFont="1"/>
    <xf numFmtId="0" fontId="16" fillId="0" borderId="15" xfId="0" applyFont="1" applyBorder="1" applyAlignment="1">
      <alignment horizontal="left"/>
    </xf>
    <xf numFmtId="0" fontId="18" fillId="0" borderId="16" xfId="0" applyFont="1" applyBorder="1"/>
    <xf numFmtId="0" fontId="16" fillId="0" borderId="38" xfId="0" applyFont="1" applyBorder="1" applyAlignment="1">
      <alignment horizontal="left"/>
    </xf>
    <xf numFmtId="0" fontId="19" fillId="0" borderId="0" xfId="0" applyFont="1"/>
    <xf numFmtId="2" fontId="19" fillId="0" borderId="15" xfId="0" applyNumberFormat="1" applyFont="1" applyBorder="1" applyAlignment="1">
      <alignment vertical="center"/>
    </xf>
    <xf numFmtId="2" fontId="20" fillId="0" borderId="15" xfId="0" applyNumberFormat="1" applyFont="1" applyBorder="1" applyAlignment="1">
      <alignment vertical="center"/>
    </xf>
    <xf numFmtId="2" fontId="19" fillId="0" borderId="16" xfId="0" applyNumberFormat="1" applyFont="1" applyBorder="1" applyAlignment="1">
      <alignment horizontal="right"/>
    </xf>
    <xf numFmtId="2" fontId="20" fillId="0" borderId="16" xfId="0" applyNumberFormat="1" applyFont="1" applyBorder="1" applyAlignment="1">
      <alignment horizontal="right"/>
    </xf>
    <xf numFmtId="0" fontId="24" fillId="0" borderId="30" xfId="0" applyFont="1" applyBorder="1" applyAlignment="1">
      <alignment horizontal="left"/>
    </xf>
    <xf numFmtId="0" fontId="24" fillId="0" borderId="62" xfId="0" applyFont="1" applyBorder="1" applyAlignment="1">
      <alignment horizontal="left"/>
    </xf>
    <xf numFmtId="0" fontId="20" fillId="0" borderId="52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18" fillId="0" borderId="62" xfId="0" applyFont="1" applyBorder="1"/>
    <xf numFmtId="0" fontId="18" fillId="0" borderId="30" xfId="0" applyFont="1" applyBorder="1"/>
    <xf numFmtId="0" fontId="20" fillId="0" borderId="52" xfId="0" applyFont="1" applyBorder="1" applyAlignment="1">
      <alignment horizontal="center" vertical="center"/>
    </xf>
    <xf numFmtId="2" fontId="19" fillId="0" borderId="15" xfId="0" applyNumberFormat="1" applyFont="1" applyBorder="1" applyAlignment="1">
      <alignment horizontal="right"/>
    </xf>
    <xf numFmtId="2" fontId="20" fillId="0" borderId="15" xfId="0" applyNumberFormat="1" applyFont="1" applyBorder="1" applyAlignment="1">
      <alignment horizontal="right"/>
    </xf>
    <xf numFmtId="0" fontId="14" fillId="0" borderId="10" xfId="0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right"/>
    </xf>
    <xf numFmtId="2" fontId="14" fillId="0" borderId="16" xfId="0" applyNumberFormat="1" applyFont="1" applyBorder="1" applyAlignment="1">
      <alignment horizontal="right"/>
    </xf>
    <xf numFmtId="0" fontId="13" fillId="0" borderId="13" xfId="0" applyFont="1" applyBorder="1" applyAlignment="1">
      <alignment horizontal="left"/>
    </xf>
    <xf numFmtId="2" fontId="13" fillId="0" borderId="16" xfId="0" applyNumberFormat="1" applyFont="1" applyBorder="1" applyAlignment="1">
      <alignment horizontal="left"/>
    </xf>
    <xf numFmtId="2" fontId="14" fillId="0" borderId="16" xfId="0" applyNumberFormat="1" applyFont="1" applyBorder="1" applyAlignment="1">
      <alignment horizontal="left"/>
    </xf>
    <xf numFmtId="2" fontId="23" fillId="0" borderId="16" xfId="0" applyNumberFormat="1" applyFont="1" applyBorder="1" applyAlignment="1">
      <alignment horizontal="left"/>
    </xf>
    <xf numFmtId="2" fontId="19" fillId="0" borderId="16" xfId="2" applyNumberFormat="1" applyFont="1" applyBorder="1" applyAlignment="1">
      <alignment horizontal="right"/>
    </xf>
    <xf numFmtId="2" fontId="19" fillId="0" borderId="16" xfId="1" applyNumberFormat="1" applyFont="1" applyBorder="1" applyAlignment="1">
      <alignment horizontal="right"/>
    </xf>
    <xf numFmtId="2" fontId="3" fillId="0" borderId="16" xfId="0" applyNumberFormat="1" applyFont="1" applyBorder="1" applyAlignment="1">
      <alignment horizontal="right"/>
    </xf>
    <xf numFmtId="2" fontId="19" fillId="0" borderId="16" xfId="0" applyNumberFormat="1" applyFont="1" applyBorder="1" applyAlignment="1">
      <alignment horizontal="right" wrapText="1"/>
    </xf>
    <xf numFmtId="3" fontId="15" fillId="0" borderId="16" xfId="0" applyNumberFormat="1" applyFont="1" applyBorder="1" applyAlignment="1">
      <alignment horizontal="right"/>
    </xf>
    <xf numFmtId="3" fontId="24" fillId="0" borderId="16" xfId="0" applyNumberFormat="1" applyFont="1" applyBorder="1" applyAlignment="1">
      <alignment horizontal="right"/>
    </xf>
    <xf numFmtId="172" fontId="15" fillId="0" borderId="16" xfId="0" applyNumberFormat="1" applyFont="1" applyBorder="1" applyAlignment="1">
      <alignment horizontal="right"/>
    </xf>
    <xf numFmtId="2" fontId="19" fillId="0" borderId="16" xfId="0" applyNumberFormat="1" applyFont="1" applyFill="1" applyBorder="1" applyAlignment="1">
      <alignment horizontal="right"/>
    </xf>
    <xf numFmtId="1" fontId="31" fillId="0" borderId="32" xfId="0" applyNumberFormat="1" applyFont="1" applyFill="1" applyBorder="1" applyAlignment="1">
      <alignment horizontal="left" vertical="top" wrapText="1"/>
    </xf>
    <xf numFmtId="1" fontId="31" fillId="0" borderId="21" xfId="0" applyNumberFormat="1" applyFont="1" applyFill="1" applyBorder="1" applyAlignment="1">
      <alignment horizontal="left" vertical="center"/>
    </xf>
    <xf numFmtId="1" fontId="31" fillId="0" borderId="19" xfId="0" applyNumberFormat="1" applyFont="1" applyFill="1" applyBorder="1" applyAlignment="1">
      <alignment horizontal="left" vertical="center"/>
    </xf>
    <xf numFmtId="1" fontId="31" fillId="0" borderId="18" xfId="0" applyNumberFormat="1" applyFont="1" applyBorder="1" applyAlignment="1">
      <alignment horizontal="left" vertical="center"/>
    </xf>
    <xf numFmtId="1" fontId="31" fillId="0" borderId="32" xfId="0" applyNumberFormat="1" applyFont="1" applyBorder="1" applyAlignment="1">
      <alignment horizontal="left" vertical="center"/>
    </xf>
    <xf numFmtId="1" fontId="31" fillId="0" borderId="0" xfId="0" applyNumberFormat="1" applyFont="1" applyFill="1" applyAlignment="1">
      <alignment horizontal="left"/>
    </xf>
    <xf numFmtId="1" fontId="32" fillId="0" borderId="15" xfId="0" applyNumberFormat="1" applyFont="1" applyFill="1" applyBorder="1" applyAlignment="1">
      <alignment horizontal="left" vertical="top" wrapText="1"/>
    </xf>
    <xf numFmtId="1" fontId="31" fillId="0" borderId="1" xfId="0" applyNumberFormat="1" applyFont="1" applyBorder="1" applyAlignment="1">
      <alignment horizontal="left" vertical="center"/>
    </xf>
    <xf numFmtId="1" fontId="31" fillId="0" borderId="2" xfId="0" applyNumberFormat="1" applyFont="1" applyBorder="1" applyAlignment="1">
      <alignment horizontal="left" vertical="center"/>
    </xf>
    <xf numFmtId="1" fontId="31" fillId="0" borderId="3" xfId="0" applyNumberFormat="1" applyFont="1" applyBorder="1" applyAlignment="1">
      <alignment horizontal="left" vertical="center"/>
    </xf>
    <xf numFmtId="1" fontId="31" fillId="0" borderId="15" xfId="0" applyNumberFormat="1" applyFont="1" applyBorder="1" applyAlignment="1">
      <alignment horizontal="left" vertical="center"/>
    </xf>
    <xf numFmtId="1" fontId="32" fillId="0" borderId="0" xfId="0" applyNumberFormat="1" applyFont="1" applyAlignment="1">
      <alignment horizontal="left"/>
    </xf>
    <xf numFmtId="1" fontId="32" fillId="0" borderId="2" xfId="0" applyNumberFormat="1" applyFont="1" applyBorder="1" applyAlignment="1">
      <alignment horizontal="left" vertical="center"/>
    </xf>
    <xf numFmtId="1" fontId="32" fillId="0" borderId="3" xfId="0" applyNumberFormat="1" applyFont="1" applyBorder="1" applyAlignment="1">
      <alignment horizontal="left" vertical="center"/>
    </xf>
    <xf numFmtId="0" fontId="31" fillId="0" borderId="7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1" fillId="0" borderId="13" xfId="0" applyFont="1" applyBorder="1" applyAlignment="1">
      <alignment horizontal="left"/>
    </xf>
    <xf numFmtId="1" fontId="14" fillId="0" borderId="9" xfId="0" applyNumberFormat="1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left" vertical="center"/>
    </xf>
    <xf numFmtId="1" fontId="14" fillId="0" borderId="8" xfId="0" applyNumberFormat="1" applyFont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left" vertical="center" shrinkToFit="1"/>
    </xf>
    <xf numFmtId="1" fontId="13" fillId="0" borderId="8" xfId="0" applyNumberFormat="1" applyFont="1" applyFill="1" applyBorder="1" applyAlignment="1">
      <alignment horizontal="left" vertical="center" shrinkToFit="1"/>
    </xf>
    <xf numFmtId="1" fontId="14" fillId="0" borderId="28" xfId="0" applyNumberFormat="1" applyFont="1" applyBorder="1" applyAlignment="1">
      <alignment horizontal="left" vertical="center"/>
    </xf>
    <xf numFmtId="1" fontId="14" fillId="0" borderId="52" xfId="0" applyNumberFormat="1" applyFont="1" applyBorder="1" applyAlignment="1">
      <alignment horizontal="left" vertical="center"/>
    </xf>
    <xf numFmtId="0" fontId="31" fillId="0" borderId="56" xfId="0" applyFont="1" applyBorder="1" applyAlignment="1">
      <alignment horizontal="left"/>
    </xf>
    <xf numFmtId="0" fontId="31" fillId="0" borderId="57" xfId="0" applyFont="1" applyBorder="1" applyAlignment="1">
      <alignment horizontal="left"/>
    </xf>
    <xf numFmtId="0" fontId="31" fillId="0" borderId="58" xfId="0" applyFont="1" applyBorder="1" applyAlignment="1">
      <alignment horizontal="left"/>
    </xf>
    <xf numFmtId="1" fontId="19" fillId="0" borderId="5" xfId="0" applyNumberFormat="1" applyFont="1" applyBorder="1" applyAlignment="1">
      <alignment horizontal="left" vertical="center"/>
    </xf>
    <xf numFmtId="1" fontId="20" fillId="0" borderId="5" xfId="0" applyNumberFormat="1" applyFont="1" applyBorder="1" applyAlignment="1">
      <alignment horizontal="left" vertical="center"/>
    </xf>
    <xf numFmtId="1" fontId="22" fillId="0" borderId="50" xfId="0" applyNumberFormat="1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horizontal="left"/>
    </xf>
    <xf numFmtId="0" fontId="33" fillId="0" borderId="0" xfId="0" applyFont="1"/>
    <xf numFmtId="0" fontId="31" fillId="0" borderId="26" xfId="0" applyFont="1" applyBorder="1" applyAlignment="1">
      <alignment horizontal="left"/>
    </xf>
    <xf numFmtId="0" fontId="31" fillId="0" borderId="24" xfId="0" applyFont="1" applyBorder="1" applyAlignment="1">
      <alignment horizontal="left"/>
    </xf>
    <xf numFmtId="0" fontId="34" fillId="0" borderId="0" xfId="0" applyFont="1"/>
    <xf numFmtId="1" fontId="22" fillId="0" borderId="17" xfId="0" applyNumberFormat="1" applyFont="1" applyBorder="1" applyAlignment="1">
      <alignment horizontal="left" vertical="center"/>
    </xf>
    <xf numFmtId="0" fontId="35" fillId="0" borderId="46" xfId="0" applyFont="1" applyBorder="1" applyAlignment="1">
      <alignment horizontal="left"/>
    </xf>
    <xf numFmtId="1" fontId="35" fillId="0" borderId="54" xfId="0" applyNumberFormat="1" applyFont="1" applyBorder="1" applyAlignment="1">
      <alignment horizontal="left" vertical="center"/>
    </xf>
    <xf numFmtId="1" fontId="35" fillId="0" borderId="11" xfId="0" applyNumberFormat="1" applyFont="1" applyBorder="1" applyAlignment="1">
      <alignment horizontal="left" vertical="center"/>
    </xf>
    <xf numFmtId="1" fontId="35" fillId="0" borderId="12" xfId="0" applyNumberFormat="1" applyFont="1" applyBorder="1" applyAlignment="1">
      <alignment horizontal="left" vertical="center"/>
    </xf>
    <xf numFmtId="1" fontId="35" fillId="0" borderId="55" xfId="0" applyNumberFormat="1" applyFont="1" applyBorder="1" applyAlignment="1">
      <alignment horizontal="left" vertical="center"/>
    </xf>
    <xf numFmtId="1" fontId="35" fillId="0" borderId="63" xfId="0" applyNumberFormat="1" applyFont="1" applyBorder="1" applyAlignment="1">
      <alignment horizontal="left" vertical="center"/>
    </xf>
    <xf numFmtId="1" fontId="35" fillId="0" borderId="48" xfId="0" applyNumberFormat="1" applyFont="1" applyBorder="1" applyAlignment="1">
      <alignment horizontal="left" vertical="center"/>
    </xf>
    <xf numFmtId="1" fontId="35" fillId="0" borderId="54" xfId="0" applyNumberFormat="1" applyFont="1" applyBorder="1" applyAlignment="1">
      <alignment horizontal="left"/>
    </xf>
    <xf numFmtId="1" fontId="35" fillId="0" borderId="46" xfId="0" applyNumberFormat="1" applyFont="1" applyBorder="1" applyAlignment="1">
      <alignment horizontal="left"/>
    </xf>
    <xf numFmtId="2" fontId="35" fillId="0" borderId="54" xfId="0" applyNumberFormat="1" applyFont="1" applyBorder="1" applyAlignment="1">
      <alignment horizontal="left"/>
    </xf>
    <xf numFmtId="2" fontId="35" fillId="0" borderId="46" xfId="0" applyNumberFormat="1" applyFont="1" applyBorder="1" applyAlignment="1">
      <alignment horizontal="left"/>
    </xf>
    <xf numFmtId="1" fontId="35" fillId="0" borderId="11" xfId="0" applyNumberFormat="1" applyFont="1" applyFill="1" applyBorder="1" applyAlignment="1">
      <alignment horizontal="left"/>
    </xf>
    <xf numFmtId="1" fontId="35" fillId="0" borderId="55" xfId="1" applyNumberFormat="1" applyFont="1" applyBorder="1" applyAlignment="1">
      <alignment horizontal="left"/>
    </xf>
    <xf numFmtId="1" fontId="35" fillId="0" borderId="54" xfId="1" applyNumberFormat="1" applyFont="1" applyBorder="1" applyAlignment="1">
      <alignment horizontal="left"/>
    </xf>
    <xf numFmtId="1" fontId="35" fillId="0" borderId="11" xfId="1" applyNumberFormat="1" applyFont="1" applyBorder="1" applyAlignment="1">
      <alignment horizontal="left"/>
    </xf>
    <xf numFmtId="1" fontId="35" fillId="0" borderId="12" xfId="1" applyNumberFormat="1" applyFont="1" applyBorder="1" applyAlignment="1">
      <alignment horizontal="left"/>
    </xf>
    <xf numFmtId="0" fontId="35" fillId="0" borderId="0" xfId="0" applyFont="1" applyAlignment="1">
      <alignment horizontal="left"/>
    </xf>
    <xf numFmtId="1" fontId="36" fillId="0" borderId="0" xfId="0" applyNumberFormat="1" applyFont="1"/>
    <xf numFmtId="1" fontId="23" fillId="0" borderId="0" xfId="0" applyNumberFormat="1" applyFont="1" applyFill="1" applyBorder="1" applyAlignment="1">
      <alignment horizontal="left"/>
    </xf>
    <xf numFmtId="1" fontId="23" fillId="0" borderId="5" xfId="2" applyNumberFormat="1" applyFont="1" applyBorder="1" applyAlignment="1">
      <alignment horizontal="left"/>
    </xf>
    <xf numFmtId="1" fontId="22" fillId="0" borderId="5" xfId="1" applyNumberFormat="1" applyFont="1" applyBorder="1" applyAlignment="1">
      <alignment horizontal="left"/>
    </xf>
    <xf numFmtId="1" fontId="22" fillId="0" borderId="0" xfId="0" applyNumberFormat="1" applyFont="1" applyAlignment="1">
      <alignment horizontal="left"/>
    </xf>
    <xf numFmtId="1" fontId="22" fillId="0" borderId="2" xfId="0" applyNumberFormat="1" applyFont="1" applyBorder="1" applyAlignment="1">
      <alignment horizontal="left" vertical="center"/>
    </xf>
    <xf numFmtId="1" fontId="22" fillId="0" borderId="4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left"/>
    </xf>
    <xf numFmtId="1" fontId="22" fillId="0" borderId="15" xfId="0" applyNumberFormat="1" applyFont="1" applyBorder="1" applyAlignment="1">
      <alignment horizontal="left" vertical="center"/>
    </xf>
    <xf numFmtId="1" fontId="23" fillId="0" borderId="18" xfId="0" applyNumberFormat="1" applyFont="1" applyBorder="1" applyAlignment="1">
      <alignment horizontal="left" vertical="center"/>
    </xf>
    <xf numFmtId="1" fontId="23" fillId="0" borderId="20" xfId="2" applyNumberFormat="1" applyFont="1" applyBorder="1" applyAlignment="1">
      <alignment horizontal="left"/>
    </xf>
    <xf numFmtId="1" fontId="15" fillId="0" borderId="39" xfId="0" applyNumberFormat="1" applyFont="1" applyBorder="1" applyAlignment="1">
      <alignment horizontal="left"/>
    </xf>
    <xf numFmtId="1" fontId="23" fillId="0" borderId="23" xfId="0" applyNumberFormat="1" applyFont="1" applyBorder="1" applyAlignment="1">
      <alignment horizontal="left"/>
    </xf>
    <xf numFmtId="1" fontId="35" fillId="0" borderId="0" xfId="0" applyNumberFormat="1" applyFont="1" applyAlignment="1">
      <alignment horizontal="left"/>
    </xf>
    <xf numFmtId="1" fontId="22" fillId="0" borderId="32" xfId="0" applyNumberFormat="1" applyFont="1" applyBorder="1" applyAlignment="1">
      <alignment horizontal="left"/>
    </xf>
    <xf numFmtId="1" fontId="35" fillId="0" borderId="61" xfId="0" applyNumberFormat="1" applyFont="1" applyBorder="1" applyAlignment="1">
      <alignment horizontal="left" vertical="center"/>
    </xf>
    <xf numFmtId="1" fontId="35" fillId="0" borderId="56" xfId="0" applyNumberFormat="1" applyFont="1" applyBorder="1" applyAlignment="1">
      <alignment horizontal="left" vertical="center"/>
    </xf>
    <xf numFmtId="1" fontId="35" fillId="0" borderId="59" xfId="0" applyNumberFormat="1" applyFont="1" applyBorder="1" applyAlignment="1">
      <alignment horizontal="left" vertical="center"/>
    </xf>
    <xf numFmtId="1" fontId="35" fillId="0" borderId="60" xfId="0" applyNumberFormat="1" applyFont="1" applyBorder="1" applyAlignment="1">
      <alignment horizontal="left" vertical="center"/>
    </xf>
    <xf numFmtId="1" fontId="35" fillId="0" borderId="60" xfId="0" applyNumberFormat="1" applyFont="1" applyBorder="1" applyAlignment="1">
      <alignment horizontal="left"/>
    </xf>
    <xf numFmtId="1" fontId="35" fillId="0" borderId="57" xfId="0" applyNumberFormat="1" applyFont="1" applyBorder="1" applyAlignment="1">
      <alignment horizontal="left"/>
    </xf>
    <xf numFmtId="1" fontId="35" fillId="0" borderId="60" xfId="1" applyNumberFormat="1" applyFont="1" applyBorder="1" applyAlignment="1">
      <alignment horizontal="left"/>
    </xf>
    <xf numFmtId="1" fontId="35" fillId="0" borderId="59" xfId="0" applyNumberFormat="1" applyFont="1" applyBorder="1" applyAlignment="1">
      <alignment horizontal="left"/>
    </xf>
    <xf numFmtId="1" fontId="31" fillId="0" borderId="56" xfId="0" applyNumberFormat="1" applyFont="1" applyBorder="1" applyAlignment="1">
      <alignment horizontal="left"/>
    </xf>
    <xf numFmtId="1" fontId="37" fillId="0" borderId="57" xfId="0" applyNumberFormat="1" applyFont="1" applyBorder="1" applyAlignment="1">
      <alignment horizontal="left"/>
    </xf>
    <xf numFmtId="1" fontId="37" fillId="0" borderId="56" xfId="0" applyNumberFormat="1" applyFont="1" applyBorder="1" applyAlignment="1">
      <alignment horizontal="left"/>
    </xf>
    <xf numFmtId="1" fontId="37" fillId="0" borderId="58" xfId="0" applyNumberFormat="1" applyFont="1" applyBorder="1" applyAlignment="1">
      <alignment horizontal="left"/>
    </xf>
    <xf numFmtId="1" fontId="37" fillId="0" borderId="57" xfId="0" applyNumberFormat="1" applyFont="1" applyFill="1" applyBorder="1" applyAlignment="1">
      <alignment horizontal="left"/>
    </xf>
    <xf numFmtId="1" fontId="37" fillId="0" borderId="64" xfId="0" applyNumberFormat="1" applyFont="1" applyBorder="1" applyAlignment="1">
      <alignment horizontal="left"/>
    </xf>
    <xf numFmtId="1" fontId="37" fillId="0" borderId="65" xfId="0" applyNumberFormat="1" applyFont="1" applyBorder="1" applyAlignment="1">
      <alignment horizontal="left"/>
    </xf>
    <xf numFmtId="1" fontId="37" fillId="0" borderId="0" xfId="0" applyNumberFormat="1" applyFont="1" applyAlignment="1">
      <alignment horizontal="left"/>
    </xf>
    <xf numFmtId="1" fontId="22" fillId="0" borderId="31" xfId="0" applyNumberFormat="1" applyFont="1" applyBorder="1" applyAlignment="1">
      <alignment horizontal="left"/>
    </xf>
    <xf numFmtId="1" fontId="36" fillId="0" borderId="0" xfId="0" applyNumberFormat="1" applyFont="1" applyAlignment="1">
      <alignment horizontal="left"/>
    </xf>
    <xf numFmtId="1" fontId="20" fillId="0" borderId="30" xfId="0" applyNumberFormat="1" applyFont="1" applyBorder="1" applyAlignment="1">
      <alignment horizontal="left" vertical="center"/>
    </xf>
    <xf numFmtId="1" fontId="20" fillId="0" borderId="31" xfId="0" applyNumberFormat="1" applyFont="1" applyBorder="1" applyAlignment="1">
      <alignment horizontal="left" vertical="center"/>
    </xf>
    <xf numFmtId="0" fontId="35" fillId="0" borderId="59" xfId="0" applyFont="1" applyBorder="1" applyAlignment="1">
      <alignment horizontal="left"/>
    </xf>
    <xf numFmtId="1" fontId="35" fillId="0" borderId="64" xfId="0" applyNumberFormat="1" applyFont="1" applyBorder="1" applyAlignment="1">
      <alignment horizontal="left" vertical="center"/>
    </xf>
    <xf numFmtId="1" fontId="35" fillId="0" borderId="58" xfId="0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2" fontId="36" fillId="0" borderId="57" xfId="0" applyNumberFormat="1" applyFont="1" applyBorder="1" applyAlignment="1">
      <alignment horizontal="left"/>
    </xf>
    <xf numFmtId="2" fontId="36" fillId="0" borderId="58" xfId="0" applyNumberFormat="1" applyFont="1" applyBorder="1" applyAlignment="1">
      <alignment horizontal="left"/>
    </xf>
    <xf numFmtId="1" fontId="36" fillId="0" borderId="58" xfId="0" applyNumberFormat="1" applyFont="1" applyBorder="1" applyAlignment="1">
      <alignment horizontal="left"/>
    </xf>
    <xf numFmtId="1" fontId="36" fillId="0" borderId="57" xfId="0" applyNumberFormat="1" applyFont="1" applyBorder="1" applyAlignment="1">
      <alignment horizontal="left"/>
    </xf>
    <xf numFmtId="1" fontId="36" fillId="0" borderId="56" xfId="0" applyNumberFormat="1" applyFont="1" applyBorder="1" applyAlignment="1">
      <alignment horizontal="left"/>
    </xf>
    <xf numFmtId="2" fontId="36" fillId="0" borderId="65" xfId="0" applyNumberFormat="1" applyFont="1" applyBorder="1" applyAlignment="1">
      <alignment horizontal="left"/>
    </xf>
    <xf numFmtId="2" fontId="36" fillId="0" borderId="60" xfId="0" applyNumberFormat="1" applyFont="1" applyBorder="1" applyAlignment="1">
      <alignment horizontal="left"/>
    </xf>
    <xf numFmtId="0" fontId="35" fillId="0" borderId="58" xfId="0" applyFont="1" applyBorder="1" applyAlignment="1">
      <alignment horizontal="left"/>
    </xf>
    <xf numFmtId="0" fontId="35" fillId="0" borderId="57" xfId="0" applyFont="1" applyBorder="1" applyAlignment="1">
      <alignment horizontal="left"/>
    </xf>
    <xf numFmtId="0" fontId="2" fillId="0" borderId="0" xfId="0" applyFont="1"/>
    <xf numFmtId="0" fontId="10" fillId="0" borderId="0" xfId="0" applyFont="1" applyAlignment="1">
      <alignment horizontal="left"/>
    </xf>
    <xf numFmtId="1" fontId="35" fillId="0" borderId="40" xfId="0" applyNumberFormat="1" applyFont="1" applyBorder="1" applyAlignment="1">
      <alignment horizontal="left"/>
    </xf>
    <xf numFmtId="1" fontId="35" fillId="0" borderId="43" xfId="0" applyNumberFormat="1" applyFont="1" applyBorder="1" applyAlignment="1">
      <alignment horizontal="left"/>
    </xf>
    <xf numFmtId="1" fontId="23" fillId="0" borderId="64" xfId="0" applyNumberFormat="1" applyFont="1" applyBorder="1" applyAlignment="1">
      <alignment horizontal="left"/>
    </xf>
    <xf numFmtId="1" fontId="23" fillId="0" borderId="65" xfId="0" applyNumberFormat="1" applyFont="1" applyBorder="1" applyAlignment="1">
      <alignment horizontal="left"/>
    </xf>
    <xf numFmtId="1" fontId="23" fillId="0" borderId="40" xfId="0" applyNumberFormat="1" applyFont="1" applyBorder="1" applyAlignment="1">
      <alignment horizontal="left"/>
    </xf>
    <xf numFmtId="1" fontId="23" fillId="0" borderId="43" xfId="0" applyNumberFormat="1" applyFont="1" applyBorder="1" applyAlignment="1">
      <alignment horizontal="left"/>
    </xf>
    <xf numFmtId="1" fontId="36" fillId="0" borderId="61" xfId="0" applyNumberFormat="1" applyFont="1" applyBorder="1" applyAlignment="1">
      <alignment horizontal="left"/>
    </xf>
    <xf numFmtId="1" fontId="36" fillId="0" borderId="64" xfId="0" applyNumberFormat="1" applyFont="1" applyBorder="1" applyAlignment="1">
      <alignment horizontal="left"/>
    </xf>
    <xf numFmtId="1" fontId="36" fillId="0" borderId="65" xfId="0" applyNumberFormat="1" applyFont="1" applyBorder="1" applyAlignment="1">
      <alignment horizontal="left"/>
    </xf>
    <xf numFmtId="1" fontId="35" fillId="0" borderId="65" xfId="0" applyNumberFormat="1" applyFont="1" applyBorder="1" applyAlignment="1">
      <alignment horizontal="left" vertical="center"/>
    </xf>
    <xf numFmtId="1" fontId="23" fillId="0" borderId="66" xfId="0" applyNumberFormat="1" applyFont="1" applyBorder="1" applyAlignment="1">
      <alignment horizontal="left"/>
    </xf>
    <xf numFmtId="1" fontId="23" fillId="0" borderId="53" xfId="0" applyNumberFormat="1" applyFont="1" applyBorder="1" applyAlignment="1">
      <alignment horizontal="left"/>
    </xf>
    <xf numFmtId="1" fontId="23" fillId="0" borderId="36" xfId="0" applyNumberFormat="1" applyFont="1" applyBorder="1" applyAlignment="1">
      <alignment horizontal="left"/>
    </xf>
    <xf numFmtId="1" fontId="23" fillId="0" borderId="60" xfId="0" applyNumberFormat="1" applyFont="1" applyBorder="1" applyAlignment="1">
      <alignment horizontal="left"/>
    </xf>
    <xf numFmtId="1" fontId="36" fillId="0" borderId="60" xfId="0" applyNumberFormat="1" applyFont="1" applyBorder="1" applyAlignment="1">
      <alignment horizontal="left"/>
    </xf>
    <xf numFmtId="1" fontId="35" fillId="0" borderId="41" xfId="0" applyNumberFormat="1" applyFont="1" applyBorder="1" applyAlignment="1">
      <alignment horizontal="left" vertical="center"/>
    </xf>
    <xf numFmtId="1" fontId="35" fillId="0" borderId="43" xfId="0" applyNumberFormat="1" applyFont="1" applyBorder="1" applyAlignment="1">
      <alignment horizontal="left" vertical="center"/>
    </xf>
    <xf numFmtId="0" fontId="23" fillId="0" borderId="61" xfId="0" applyFont="1" applyBorder="1" applyAlignment="1">
      <alignment horizontal="left"/>
    </xf>
    <xf numFmtId="0" fontId="23" fillId="0" borderId="64" xfId="0" applyFont="1" applyBorder="1" applyAlignment="1">
      <alignment horizontal="left"/>
    </xf>
    <xf numFmtId="2" fontId="23" fillId="0" borderId="51" xfId="0" applyNumberFormat="1" applyFont="1" applyBorder="1" applyAlignment="1">
      <alignment horizontal="left"/>
    </xf>
    <xf numFmtId="2" fontId="23" fillId="0" borderId="66" xfId="0" applyNumberFormat="1" applyFont="1" applyBorder="1" applyAlignment="1">
      <alignment horizontal="left"/>
    </xf>
    <xf numFmtId="2" fontId="36" fillId="0" borderId="67" xfId="0" applyNumberFormat="1" applyFont="1" applyBorder="1" applyAlignment="1">
      <alignment horizontal="left"/>
    </xf>
    <xf numFmtId="2" fontId="36" fillId="0" borderId="68" xfId="0" applyNumberFormat="1" applyFont="1" applyBorder="1" applyAlignment="1">
      <alignment horizontal="left"/>
    </xf>
    <xf numFmtId="1" fontId="36" fillId="0" borderId="37" xfId="0" applyNumberFormat="1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22" fillId="0" borderId="26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2" fontId="35" fillId="0" borderId="40" xfId="0" applyNumberFormat="1" applyFont="1" applyBorder="1" applyAlignment="1">
      <alignment horizontal="left" vertical="center"/>
    </xf>
    <xf numFmtId="2" fontId="35" fillId="0" borderId="43" xfId="0" applyNumberFormat="1" applyFont="1" applyBorder="1" applyAlignment="1">
      <alignment horizontal="left" vertical="center"/>
    </xf>
    <xf numFmtId="0" fontId="23" fillId="0" borderId="65" xfId="0" applyFont="1" applyBorder="1" applyAlignment="1">
      <alignment horizontal="left"/>
    </xf>
    <xf numFmtId="2" fontId="23" fillId="0" borderId="53" xfId="0" applyNumberFormat="1" applyFont="1" applyBorder="1" applyAlignment="1">
      <alignment horizontal="left"/>
    </xf>
    <xf numFmtId="2" fontId="36" fillId="0" borderId="37" xfId="0" applyNumberFormat="1" applyFont="1" applyBorder="1" applyAlignment="1">
      <alignment horizontal="left"/>
    </xf>
    <xf numFmtId="1" fontId="35" fillId="0" borderId="59" xfId="0" applyNumberFormat="1" applyFont="1" applyBorder="1" applyAlignment="1">
      <alignment horizontal="center" vertical="justify" wrapText="1"/>
    </xf>
    <xf numFmtId="1" fontId="22" fillId="0" borderId="45" xfId="0" applyNumberFormat="1" applyFont="1" applyFill="1" applyBorder="1" applyAlignment="1">
      <alignment horizontal="center" vertical="center" wrapText="1"/>
    </xf>
    <xf numFmtId="0" fontId="24" fillId="0" borderId="59" xfId="0" applyFont="1" applyBorder="1" applyAlignment="1">
      <alignment horizontal="left"/>
    </xf>
    <xf numFmtId="1" fontId="22" fillId="0" borderId="45" xfId="0" applyNumberFormat="1" applyFont="1" applyFill="1" applyBorder="1" applyAlignment="1">
      <alignment horizontal="center" vertical="justify" wrapText="1"/>
    </xf>
    <xf numFmtId="2" fontId="14" fillId="0" borderId="52" xfId="0" applyNumberFormat="1" applyFont="1" applyBorder="1" applyAlignment="1">
      <alignment horizontal="left" vertical="center"/>
    </xf>
    <xf numFmtId="2" fontId="25" fillId="0" borderId="52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left"/>
    </xf>
    <xf numFmtId="2" fontId="14" fillId="0" borderId="3" xfId="2" applyNumberFormat="1" applyFont="1" applyBorder="1" applyAlignment="1">
      <alignment horizontal="left"/>
    </xf>
    <xf numFmtId="2" fontId="13" fillId="0" borderId="29" xfId="0" applyNumberFormat="1" applyFont="1" applyBorder="1" applyAlignment="1">
      <alignment horizontal="left"/>
    </xf>
    <xf numFmtId="2" fontId="13" fillId="0" borderId="39" xfId="0" applyNumberFormat="1" applyFont="1" applyBorder="1" applyAlignment="1">
      <alignment horizontal="left"/>
    </xf>
    <xf numFmtId="2" fontId="14" fillId="0" borderId="42" xfId="0" applyNumberFormat="1" applyFont="1" applyBorder="1" applyAlignment="1">
      <alignment horizontal="left"/>
    </xf>
    <xf numFmtId="172" fontId="15" fillId="0" borderId="29" xfId="0" applyNumberFormat="1" applyFont="1" applyBorder="1" applyAlignment="1">
      <alignment horizontal="left"/>
    </xf>
    <xf numFmtId="3" fontId="15" fillId="0" borderId="4" xfId="0" applyNumberFormat="1" applyFont="1" applyBorder="1" applyAlignment="1">
      <alignment horizontal="left"/>
    </xf>
    <xf numFmtId="172" fontId="15" fillId="0" borderId="4" xfId="0" applyNumberFormat="1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172" fontId="15" fillId="0" borderId="39" xfId="0" applyNumberFormat="1" applyFont="1" applyBorder="1" applyAlignment="1">
      <alignment horizontal="left"/>
    </xf>
    <xf numFmtId="0" fontId="23" fillId="0" borderId="42" xfId="0" applyFont="1" applyBorder="1" applyAlignment="1">
      <alignment horizontal="left"/>
    </xf>
    <xf numFmtId="2" fontId="19" fillId="0" borderId="29" xfId="1" applyNumberFormat="1" applyFont="1" applyBorder="1" applyAlignment="1">
      <alignment horizontal="left"/>
    </xf>
    <xf numFmtId="2" fontId="19" fillId="0" borderId="4" xfId="1" applyNumberFormat="1" applyFont="1" applyBorder="1" applyAlignment="1">
      <alignment horizontal="left"/>
    </xf>
    <xf numFmtId="2" fontId="19" fillId="0" borderId="39" xfId="1" applyNumberFormat="1" applyFont="1" applyBorder="1" applyAlignment="1">
      <alignment horizontal="left"/>
    </xf>
    <xf numFmtId="2" fontId="19" fillId="0" borderId="42" xfId="1" applyNumberFormat="1" applyFont="1" applyBorder="1" applyAlignment="1">
      <alignment horizontal="left"/>
    </xf>
    <xf numFmtId="1" fontId="13" fillId="0" borderId="19" xfId="0" applyNumberFormat="1" applyFont="1" applyBorder="1" applyAlignment="1">
      <alignment horizontal="left" vertical="center"/>
    </xf>
    <xf numFmtId="1" fontId="13" fillId="0" borderId="21" xfId="0" applyNumberFormat="1" applyFont="1" applyBorder="1" applyAlignment="1">
      <alignment horizontal="left"/>
    </xf>
    <xf numFmtId="1" fontId="13" fillId="0" borderId="19" xfId="0" applyNumberFormat="1" applyFont="1" applyBorder="1" applyAlignment="1">
      <alignment horizontal="left"/>
    </xf>
    <xf numFmtId="1" fontId="13" fillId="0" borderId="39" xfId="0" applyNumberFormat="1" applyFont="1" applyBorder="1" applyAlignment="1">
      <alignment horizontal="left"/>
    </xf>
    <xf numFmtId="3" fontId="16" fillId="0" borderId="21" xfId="0" applyNumberFormat="1" applyFont="1" applyBorder="1" applyAlignment="1">
      <alignment horizontal="left"/>
    </xf>
    <xf numFmtId="3" fontId="16" fillId="0" borderId="19" xfId="0" applyNumberFormat="1" applyFont="1" applyBorder="1" applyAlignment="1">
      <alignment horizontal="left"/>
    </xf>
    <xf numFmtId="1" fontId="13" fillId="0" borderId="21" xfId="0" applyNumberFormat="1" applyFont="1" applyFill="1" applyBorder="1" applyAlignment="1">
      <alignment horizontal="left"/>
    </xf>
    <xf numFmtId="1" fontId="13" fillId="0" borderId="19" xfId="0" applyNumberFormat="1" applyFont="1" applyFill="1" applyBorder="1" applyAlignment="1">
      <alignment horizontal="left"/>
    </xf>
    <xf numFmtId="1" fontId="13" fillId="0" borderId="21" xfId="1" applyNumberFormat="1" applyFont="1" applyBorder="1" applyAlignment="1">
      <alignment horizontal="left"/>
    </xf>
    <xf numFmtId="1" fontId="13" fillId="0" borderId="19" xfId="1" applyNumberFormat="1" applyFont="1" applyBorder="1" applyAlignment="1">
      <alignment horizontal="left"/>
    </xf>
    <xf numFmtId="1" fontId="14" fillId="0" borderId="66" xfId="0" applyNumberFormat="1" applyFont="1" applyBorder="1" applyAlignment="1">
      <alignment horizontal="left"/>
    </xf>
    <xf numFmtId="1" fontId="14" fillId="0" borderId="53" xfId="0" applyNumberFormat="1" applyFont="1" applyBorder="1" applyAlignment="1">
      <alignment horizontal="left"/>
    </xf>
    <xf numFmtId="1" fontId="14" fillId="0" borderId="36" xfId="0" applyNumberFormat="1" applyFont="1" applyBorder="1" applyAlignment="1">
      <alignment horizontal="left"/>
    </xf>
    <xf numFmtId="1" fontId="14" fillId="0" borderId="13" xfId="0" applyNumberFormat="1" applyFont="1" applyBorder="1" applyAlignment="1">
      <alignment horizontal="left"/>
    </xf>
    <xf numFmtId="1" fontId="25" fillId="0" borderId="61" xfId="0" applyNumberFormat="1" applyFont="1" applyBorder="1" applyAlignment="1">
      <alignment horizontal="left" vertical="center"/>
    </xf>
    <xf numFmtId="1" fontId="25" fillId="0" borderId="56" xfId="0" applyNumberFormat="1" applyFont="1" applyBorder="1" applyAlignment="1">
      <alignment horizontal="left" vertical="center"/>
    </xf>
    <xf numFmtId="1" fontId="25" fillId="0" borderId="64" xfId="0" applyNumberFormat="1" applyFont="1" applyBorder="1" applyAlignment="1">
      <alignment horizontal="left" vertical="center"/>
    </xf>
    <xf numFmtId="1" fontId="25" fillId="0" borderId="65" xfId="0" applyNumberFormat="1" applyFont="1" applyBorder="1" applyAlignment="1">
      <alignment horizontal="left" vertical="center"/>
    </xf>
    <xf numFmtId="1" fontId="25" fillId="0" borderId="60" xfId="0" applyNumberFormat="1" applyFont="1" applyBorder="1" applyAlignment="1">
      <alignment horizontal="left" vertical="center"/>
    </xf>
    <xf numFmtId="1" fontId="25" fillId="0" borderId="59" xfId="0" applyNumberFormat="1" applyFont="1" applyBorder="1" applyAlignment="1">
      <alignment horizontal="left" vertical="center"/>
    </xf>
    <xf numFmtId="1" fontId="25" fillId="0" borderId="64" xfId="0" applyNumberFormat="1" applyFont="1" applyBorder="1" applyAlignment="1">
      <alignment horizontal="left"/>
    </xf>
    <xf numFmtId="1" fontId="25" fillId="0" borderId="65" xfId="0" applyNumberFormat="1" applyFont="1" applyBorder="1" applyAlignment="1">
      <alignment horizontal="left"/>
    </xf>
    <xf numFmtId="1" fontId="26" fillId="0" borderId="60" xfId="1" applyNumberFormat="1" applyFont="1" applyBorder="1" applyAlignment="1">
      <alignment horizontal="left"/>
    </xf>
    <xf numFmtId="1" fontId="26" fillId="0" borderId="58" xfId="1" applyNumberFormat="1" applyFont="1" applyBorder="1" applyAlignment="1">
      <alignment horizontal="left"/>
    </xf>
    <xf numFmtId="1" fontId="25" fillId="0" borderId="60" xfId="0" applyNumberFormat="1" applyFont="1" applyBorder="1" applyAlignment="1">
      <alignment horizontal="left"/>
    </xf>
    <xf numFmtId="1" fontId="25" fillId="0" borderId="58" xfId="0" applyNumberFormat="1" applyFont="1" applyBorder="1" applyAlignment="1">
      <alignment horizontal="left"/>
    </xf>
    <xf numFmtId="1" fontId="16" fillId="0" borderId="32" xfId="0" applyNumberFormat="1" applyFont="1" applyFill="1" applyBorder="1" applyAlignment="1">
      <alignment horizontal="left" vertical="top" wrapText="1"/>
    </xf>
    <xf numFmtId="1" fontId="14" fillId="0" borderId="18" xfId="0" applyNumberFormat="1" applyFont="1" applyBorder="1" applyAlignment="1">
      <alignment horizontal="left" vertical="center"/>
    </xf>
    <xf numFmtId="1" fontId="14" fillId="0" borderId="39" xfId="0" applyNumberFormat="1" applyFont="1" applyBorder="1" applyAlignment="1">
      <alignment horizontal="left" vertical="center"/>
    </xf>
    <xf numFmtId="1" fontId="14" fillId="0" borderId="23" xfId="0" applyNumberFormat="1" applyFont="1" applyBorder="1" applyAlignment="1">
      <alignment horizontal="left" vertical="center"/>
    </xf>
    <xf numFmtId="1" fontId="2" fillId="0" borderId="21" xfId="0" applyNumberFormat="1" applyFont="1" applyBorder="1" applyAlignment="1">
      <alignment horizontal="left"/>
    </xf>
    <xf numFmtId="1" fontId="2" fillId="0" borderId="19" xfId="0" applyNumberFormat="1" applyFont="1" applyBorder="1" applyAlignment="1">
      <alignment horizontal="left"/>
    </xf>
    <xf numFmtId="1" fontId="5" fillId="0" borderId="21" xfId="2" applyNumberFormat="1" applyFont="1" applyBorder="1" applyAlignment="1">
      <alignment horizontal="left"/>
    </xf>
    <xf numFmtId="1" fontId="5" fillId="0" borderId="19" xfId="2" applyNumberFormat="1" applyFont="1" applyBorder="1" applyAlignment="1">
      <alignment horizontal="left"/>
    </xf>
    <xf numFmtId="1" fontId="5" fillId="0" borderId="21" xfId="0" applyNumberFormat="1" applyFont="1" applyBorder="1" applyAlignment="1">
      <alignment horizontal="left"/>
    </xf>
    <xf numFmtId="1" fontId="5" fillId="0" borderId="19" xfId="0" applyNumberFormat="1" applyFont="1" applyBorder="1" applyAlignment="1">
      <alignment horizontal="left"/>
    </xf>
    <xf numFmtId="1" fontId="13" fillId="0" borderId="21" xfId="0" applyNumberFormat="1" applyFont="1" applyFill="1" applyBorder="1" applyAlignment="1">
      <alignment horizontal="left" vertical="top" wrapText="1"/>
    </xf>
    <xf numFmtId="1" fontId="13" fillId="0" borderId="19" xfId="0" applyNumberFormat="1" applyFont="1" applyFill="1" applyBorder="1" applyAlignment="1">
      <alignment horizontal="left" vertical="top" wrapText="1"/>
    </xf>
    <xf numFmtId="1" fontId="5" fillId="0" borderId="39" xfId="0" applyNumberFormat="1" applyFont="1" applyFill="1" applyBorder="1" applyAlignment="1">
      <alignment horizontal="left"/>
    </xf>
    <xf numFmtId="1" fontId="5" fillId="0" borderId="19" xfId="0" applyNumberFormat="1" applyFont="1" applyFill="1" applyBorder="1" applyAlignment="1">
      <alignment horizontal="left"/>
    </xf>
    <xf numFmtId="1" fontId="5" fillId="0" borderId="21" xfId="1" applyNumberFormat="1" applyFont="1" applyBorder="1" applyAlignment="1">
      <alignment horizontal="left"/>
    </xf>
    <xf numFmtId="1" fontId="5" fillId="0" borderId="19" xfId="1" applyNumberFormat="1" applyFont="1" applyBorder="1" applyAlignment="1">
      <alignment horizontal="left"/>
    </xf>
    <xf numFmtId="1" fontId="14" fillId="0" borderId="20" xfId="0" applyNumberFormat="1" applyFont="1" applyBorder="1" applyAlignment="1">
      <alignment horizontal="left" vertical="center"/>
    </xf>
    <xf numFmtId="1" fontId="14" fillId="0" borderId="32" xfId="0" applyNumberFormat="1" applyFont="1" applyBorder="1" applyAlignment="1">
      <alignment horizontal="left" vertical="center"/>
    </xf>
    <xf numFmtId="0" fontId="38" fillId="0" borderId="0" xfId="0" applyFont="1"/>
    <xf numFmtId="1" fontId="22" fillId="0" borderId="3" xfId="0" applyNumberFormat="1" applyFont="1" applyBorder="1" applyAlignment="1">
      <alignment horizontal="left" vertical="center"/>
    </xf>
    <xf numFmtId="1" fontId="35" fillId="0" borderId="11" xfId="0" applyNumberFormat="1" applyFont="1" applyBorder="1" applyAlignment="1">
      <alignment horizontal="left"/>
    </xf>
    <xf numFmtId="1" fontId="35" fillId="0" borderId="12" xfId="0" applyNumberFormat="1" applyFont="1" applyBorder="1" applyAlignment="1">
      <alignment horizontal="left"/>
    </xf>
    <xf numFmtId="0" fontId="22" fillId="0" borderId="69" xfId="0" applyFont="1" applyBorder="1" applyAlignment="1">
      <alignment horizontal="left" vertical="center"/>
    </xf>
    <xf numFmtId="1" fontId="35" fillId="0" borderId="47" xfId="0" applyNumberFormat="1" applyFont="1" applyBorder="1" applyAlignment="1">
      <alignment horizontal="left"/>
    </xf>
    <xf numFmtId="1" fontId="23" fillId="0" borderId="30" xfId="0" applyNumberFormat="1" applyFont="1" applyBorder="1" applyAlignment="1">
      <alignment horizontal="left"/>
    </xf>
    <xf numFmtId="1" fontId="35" fillId="0" borderId="70" xfId="0" applyNumberFormat="1" applyFont="1" applyBorder="1" applyAlignment="1">
      <alignment horizontal="left"/>
    </xf>
    <xf numFmtId="3" fontId="35" fillId="0" borderId="12" xfId="0" applyNumberFormat="1" applyFont="1" applyBorder="1" applyAlignment="1">
      <alignment horizontal="left"/>
    </xf>
    <xf numFmtId="2" fontId="23" fillId="0" borderId="4" xfId="0" applyNumberFormat="1" applyFont="1" applyFill="1" applyBorder="1" applyAlignment="1">
      <alignment horizontal="left"/>
    </xf>
    <xf numFmtId="1" fontId="35" fillId="0" borderId="47" xfId="0" applyNumberFormat="1" applyFont="1" applyFill="1" applyBorder="1" applyAlignment="1">
      <alignment horizontal="left"/>
    </xf>
    <xf numFmtId="2" fontId="23" fillId="0" borderId="1" xfId="1" applyNumberFormat="1" applyFont="1" applyBorder="1" applyAlignment="1">
      <alignment horizontal="left"/>
    </xf>
    <xf numFmtId="1" fontId="19" fillId="0" borderId="30" xfId="0" applyNumberFormat="1" applyFont="1" applyBorder="1" applyAlignment="1">
      <alignment horizontal="left" vertical="center"/>
    </xf>
    <xf numFmtId="1" fontId="19" fillId="0" borderId="15" xfId="0" applyNumberFormat="1" applyFont="1" applyBorder="1" applyAlignment="1">
      <alignment horizontal="left" vertical="center"/>
    </xf>
    <xf numFmtId="0" fontId="20" fillId="0" borderId="71" xfId="0" applyFont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left"/>
    </xf>
    <xf numFmtId="1" fontId="22" fillId="0" borderId="50" xfId="0" applyNumberFormat="1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left"/>
    </xf>
    <xf numFmtId="0" fontId="18" fillId="0" borderId="31" xfId="0" applyFont="1" applyBorder="1"/>
    <xf numFmtId="2" fontId="19" fillId="0" borderId="32" xfId="0" applyNumberFormat="1" applyFont="1" applyBorder="1" applyAlignment="1">
      <alignment vertical="center"/>
    </xf>
    <xf numFmtId="2" fontId="19" fillId="0" borderId="23" xfId="0" applyNumberFormat="1" applyFont="1" applyBorder="1" applyAlignment="1">
      <alignment horizontal="right"/>
    </xf>
    <xf numFmtId="2" fontId="19" fillId="0" borderId="32" xfId="0" applyNumberFormat="1" applyFont="1" applyBorder="1" applyAlignment="1">
      <alignment horizontal="right"/>
    </xf>
    <xf numFmtId="2" fontId="13" fillId="0" borderId="23" xfId="0" applyNumberFormat="1" applyFont="1" applyBorder="1" applyAlignment="1">
      <alignment horizontal="right"/>
    </xf>
    <xf numFmtId="2" fontId="23" fillId="0" borderId="23" xfId="0" applyNumberFormat="1" applyFont="1" applyBorder="1" applyAlignment="1">
      <alignment horizontal="left"/>
    </xf>
    <xf numFmtId="2" fontId="19" fillId="0" borderId="23" xfId="1" applyNumberFormat="1" applyFont="1" applyBorder="1" applyAlignment="1">
      <alignment horizontal="right"/>
    </xf>
    <xf numFmtId="2" fontId="19" fillId="0" borderId="23" xfId="0" applyNumberFormat="1" applyFont="1" applyBorder="1" applyAlignment="1">
      <alignment horizontal="right" wrapText="1"/>
    </xf>
    <xf numFmtId="3" fontId="15" fillId="0" borderId="23" xfId="0" applyNumberFormat="1" applyFont="1" applyBorder="1" applyAlignment="1">
      <alignment horizontal="right"/>
    </xf>
    <xf numFmtId="2" fontId="19" fillId="0" borderId="23" xfId="0" applyNumberFormat="1" applyFont="1" applyFill="1" applyBorder="1" applyAlignment="1">
      <alignment horizontal="right"/>
    </xf>
    <xf numFmtId="2" fontId="20" fillId="0" borderId="23" xfId="0" applyNumberFormat="1" applyFont="1" applyBorder="1" applyAlignment="1">
      <alignment horizontal="right"/>
    </xf>
    <xf numFmtId="0" fontId="24" fillId="0" borderId="56" xfId="0" applyFont="1" applyBorder="1" applyAlignment="1">
      <alignment horizontal="left"/>
    </xf>
    <xf numFmtId="0" fontId="38" fillId="0" borderId="56" xfId="0" applyFont="1" applyBorder="1"/>
    <xf numFmtId="2" fontId="20" fillId="0" borderId="59" xfId="0" applyNumberFormat="1" applyFont="1" applyBorder="1" applyAlignment="1">
      <alignment vertical="center"/>
    </xf>
    <xf numFmtId="2" fontId="20" fillId="0" borderId="58" xfId="0" applyNumberFormat="1" applyFont="1" applyBorder="1" applyAlignment="1">
      <alignment horizontal="right"/>
    </xf>
    <xf numFmtId="2" fontId="20" fillId="0" borderId="59" xfId="0" applyNumberFormat="1" applyFont="1" applyBorder="1" applyAlignment="1">
      <alignment horizontal="right"/>
    </xf>
    <xf numFmtId="2" fontId="14" fillId="0" borderId="58" xfId="0" applyNumberFormat="1" applyFont="1" applyBorder="1" applyAlignment="1">
      <alignment horizontal="right"/>
    </xf>
    <xf numFmtId="2" fontId="22" fillId="0" borderId="58" xfId="0" applyNumberFormat="1" applyFont="1" applyBorder="1" applyAlignment="1">
      <alignment horizontal="left"/>
    </xf>
    <xf numFmtId="2" fontId="20" fillId="0" borderId="58" xfId="1" applyNumberFormat="1" applyFont="1" applyBorder="1" applyAlignment="1">
      <alignment horizontal="right"/>
    </xf>
    <xf numFmtId="2" fontId="20" fillId="0" borderId="58" xfId="0" applyNumberFormat="1" applyFont="1" applyBorder="1" applyAlignment="1">
      <alignment horizontal="right" wrapText="1"/>
    </xf>
    <xf numFmtId="3" fontId="24" fillId="0" borderId="58" xfId="0" applyNumberFormat="1" applyFont="1" applyBorder="1" applyAlignment="1">
      <alignment horizontal="right"/>
    </xf>
    <xf numFmtId="2" fontId="20" fillId="0" borderId="58" xfId="0" applyNumberFormat="1" applyFont="1" applyFill="1" applyBorder="1" applyAlignment="1">
      <alignment horizontal="right"/>
    </xf>
    <xf numFmtId="0" fontId="39" fillId="0" borderId="56" xfId="0" applyFont="1" applyBorder="1" applyAlignment="1">
      <alignment horizontal="center" vertical="center"/>
    </xf>
    <xf numFmtId="2" fontId="13" fillId="0" borderId="69" xfId="0" applyNumberFormat="1" applyFont="1" applyBorder="1" applyAlignment="1">
      <alignment horizontal="left"/>
    </xf>
    <xf numFmtId="1" fontId="14" fillId="0" borderId="47" xfId="0" applyNumberFormat="1" applyFont="1" applyBorder="1" applyAlignment="1">
      <alignment horizontal="left"/>
    </xf>
    <xf numFmtId="1" fontId="20" fillId="0" borderId="28" xfId="0" applyNumberFormat="1" applyFont="1" applyBorder="1" applyAlignment="1">
      <alignment horizontal="left" vertical="center"/>
    </xf>
    <xf numFmtId="1" fontId="20" fillId="0" borderId="6" xfId="0" applyNumberFormat="1" applyFont="1" applyBorder="1" applyAlignment="1">
      <alignment horizontal="left" vertical="center"/>
    </xf>
    <xf numFmtId="1" fontId="20" fillId="0" borderId="8" xfId="0" applyNumberFormat="1" applyFont="1" applyBorder="1" applyAlignment="1">
      <alignment horizontal="left" vertical="center"/>
    </xf>
    <xf numFmtId="1" fontId="20" fillId="0" borderId="9" xfId="0" applyNumberFormat="1" applyFont="1" applyBorder="1" applyAlignment="1">
      <alignment horizontal="left" vertical="center"/>
    </xf>
    <xf numFmtId="1" fontId="20" fillId="0" borderId="29" xfId="0" applyNumberFormat="1" applyFont="1" applyBorder="1" applyAlignment="1">
      <alignment horizontal="left" vertical="center"/>
    </xf>
    <xf numFmtId="1" fontId="20" fillId="0" borderId="62" xfId="0" applyNumberFormat="1" applyFont="1" applyBorder="1" applyAlignment="1">
      <alignment horizontal="left" vertical="center"/>
    </xf>
    <xf numFmtId="1" fontId="20" fillId="0" borderId="52" xfId="0" applyNumberFormat="1" applyFont="1" applyBorder="1" applyAlignment="1">
      <alignment horizontal="left" vertical="center"/>
    </xf>
    <xf numFmtId="1" fontId="40" fillId="0" borderId="6" xfId="0" applyNumberFormat="1" applyFont="1" applyBorder="1" applyAlignment="1">
      <alignment horizontal="left"/>
    </xf>
    <xf numFmtId="1" fontId="40" fillId="0" borderId="8" xfId="0" applyNumberFormat="1" applyFont="1" applyBorder="1" applyAlignment="1">
      <alignment horizontal="left"/>
    </xf>
    <xf numFmtId="1" fontId="40" fillId="0" borderId="2" xfId="0" applyNumberFormat="1" applyFont="1" applyBorder="1" applyAlignment="1">
      <alignment horizontal="left"/>
    </xf>
    <xf numFmtId="1" fontId="40" fillId="0" borderId="3" xfId="0" applyNumberFormat="1" applyFont="1" applyBorder="1" applyAlignment="1">
      <alignment horizontal="left"/>
    </xf>
    <xf numFmtId="1" fontId="19" fillId="0" borderId="0" xfId="0" applyNumberFormat="1" applyFont="1" applyBorder="1" applyAlignment="1">
      <alignment horizontal="left"/>
    </xf>
    <xf numFmtId="1" fontId="19" fillId="0" borderId="13" xfId="0" applyNumberFormat="1" applyFont="1" applyBorder="1" applyAlignment="1">
      <alignment horizontal="left"/>
    </xf>
    <xf numFmtId="1" fontId="40" fillId="0" borderId="21" xfId="0" applyNumberFormat="1" applyFont="1" applyBorder="1" applyAlignment="1">
      <alignment horizontal="left"/>
    </xf>
    <xf numFmtId="1" fontId="40" fillId="0" borderId="19" xfId="0" applyNumberFormat="1" applyFont="1" applyBorder="1" applyAlignment="1">
      <alignment horizontal="left"/>
    </xf>
    <xf numFmtId="1" fontId="6" fillId="0" borderId="3" xfId="0" applyNumberFormat="1" applyFont="1" applyBorder="1" applyAlignment="1">
      <alignment horizontal="left"/>
    </xf>
    <xf numFmtId="1" fontId="6" fillId="0" borderId="21" xfId="0" applyNumberFormat="1" applyFont="1" applyBorder="1" applyAlignment="1">
      <alignment horizontal="left"/>
    </xf>
    <xf numFmtId="1" fontId="6" fillId="0" borderId="19" xfId="0" applyNumberFormat="1" applyFont="1" applyBorder="1" applyAlignment="1">
      <alignment horizontal="left"/>
    </xf>
    <xf numFmtId="1" fontId="39" fillId="0" borderId="56" xfId="0" applyNumberFormat="1" applyFont="1" applyFill="1" applyBorder="1" applyAlignment="1">
      <alignment horizontal="left"/>
    </xf>
    <xf numFmtId="1" fontId="24" fillId="0" borderId="72" xfId="0" applyNumberFormat="1" applyFont="1" applyBorder="1" applyAlignment="1">
      <alignment horizontal="left"/>
    </xf>
    <xf numFmtId="1" fontId="21" fillId="0" borderId="6" xfId="0" applyNumberFormat="1" applyFont="1" applyBorder="1" applyAlignment="1">
      <alignment horizontal="left"/>
    </xf>
    <xf numFmtId="1" fontId="21" fillId="0" borderId="8" xfId="0" applyNumberFormat="1" applyFont="1" applyBorder="1" applyAlignment="1">
      <alignment horizontal="left"/>
    </xf>
    <xf numFmtId="1" fontId="21" fillId="0" borderId="2" xfId="0" applyNumberFormat="1" applyFont="1" applyBorder="1" applyAlignment="1">
      <alignment horizontal="left"/>
    </xf>
    <xf numFmtId="1" fontId="21" fillId="0" borderId="3" xfId="0" applyNumberFormat="1" applyFont="1" applyBorder="1" applyAlignment="1">
      <alignment horizontal="left"/>
    </xf>
    <xf numFmtId="1" fontId="14" fillId="0" borderId="0" xfId="0" applyNumberFormat="1" applyFont="1" applyAlignment="1">
      <alignment horizontal="left"/>
    </xf>
    <xf numFmtId="1" fontId="14" fillId="0" borderId="2" xfId="2" applyNumberFormat="1" applyFont="1" applyBorder="1" applyAlignment="1">
      <alignment horizontal="left"/>
    </xf>
    <xf numFmtId="1" fontId="14" fillId="0" borderId="4" xfId="2" applyNumberFormat="1" applyFont="1" applyBorder="1" applyAlignment="1">
      <alignment horizontal="left"/>
    </xf>
    <xf numFmtId="1" fontId="14" fillId="0" borderId="2" xfId="0" applyNumberFormat="1" applyFont="1" applyFill="1" applyBorder="1" applyAlignment="1">
      <alignment horizontal="left"/>
    </xf>
    <xf numFmtId="1" fontId="14" fillId="0" borderId="3" xfId="0" applyNumberFormat="1" applyFont="1" applyFill="1" applyBorder="1" applyAlignment="1">
      <alignment horizontal="left"/>
    </xf>
    <xf numFmtId="1" fontId="14" fillId="0" borderId="0" xfId="0" applyNumberFormat="1" applyFont="1" applyBorder="1" applyAlignment="1">
      <alignment horizontal="left"/>
    </xf>
    <xf numFmtId="1" fontId="14" fillId="0" borderId="29" xfId="0" applyNumberFormat="1" applyFont="1" applyBorder="1" applyAlignment="1">
      <alignment horizontal="left" vertical="center"/>
    </xf>
    <xf numFmtId="1" fontId="14" fillId="0" borderId="10" xfId="0" applyNumberFormat="1" applyFont="1" applyBorder="1" applyAlignment="1">
      <alignment horizontal="left" vertical="center"/>
    </xf>
    <xf numFmtId="0" fontId="25" fillId="0" borderId="11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5" fillId="0" borderId="59" xfId="0" applyFont="1" applyBorder="1" applyAlignment="1">
      <alignment horizontal="left"/>
    </xf>
    <xf numFmtId="1" fontId="13" fillId="0" borderId="10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" fontId="2" fillId="0" borderId="53" xfId="0" applyNumberFormat="1" applyFont="1" applyBorder="1" applyAlignment="1">
      <alignment horizontal="left" vertical="center"/>
    </xf>
    <xf numFmtId="1" fontId="5" fillId="0" borderId="66" xfId="0" applyNumberFormat="1" applyFont="1" applyBorder="1" applyAlignment="1">
      <alignment horizontal="left"/>
    </xf>
    <xf numFmtId="1" fontId="5" fillId="0" borderId="53" xfId="0" applyNumberFormat="1" applyFont="1" applyBorder="1" applyAlignment="1">
      <alignment horizontal="left"/>
    </xf>
    <xf numFmtId="1" fontId="2" fillId="0" borderId="36" xfId="0" applyNumberFormat="1" applyFont="1" applyBorder="1" applyAlignment="1">
      <alignment horizontal="left"/>
    </xf>
    <xf numFmtId="1" fontId="2" fillId="0" borderId="66" xfId="0" applyNumberFormat="1" applyFont="1" applyBorder="1" applyAlignment="1">
      <alignment horizontal="left"/>
    </xf>
    <xf numFmtId="1" fontId="2" fillId="0" borderId="53" xfId="0" applyNumberFormat="1" applyFont="1" applyBorder="1" applyAlignment="1">
      <alignment horizontal="left"/>
    </xf>
    <xf numFmtId="1" fontId="5" fillId="0" borderId="73" xfId="0" applyNumberFormat="1" applyFont="1" applyBorder="1" applyAlignment="1">
      <alignment horizontal="left"/>
    </xf>
    <xf numFmtId="2" fontId="5" fillId="0" borderId="53" xfId="0" applyNumberFormat="1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1" fontId="5" fillId="0" borderId="66" xfId="0" applyNumberFormat="1" applyFont="1" applyFill="1" applyBorder="1" applyAlignment="1">
      <alignment horizontal="left"/>
    </xf>
    <xf numFmtId="1" fontId="5" fillId="0" borderId="53" xfId="0" applyNumberFormat="1" applyFont="1" applyFill="1" applyBorder="1" applyAlignment="1">
      <alignment horizontal="left"/>
    </xf>
    <xf numFmtId="1" fontId="5" fillId="0" borderId="66" xfId="1" applyNumberFormat="1" applyFont="1" applyBorder="1" applyAlignment="1">
      <alignment horizontal="left"/>
    </xf>
    <xf numFmtId="1" fontId="5" fillId="0" borderId="53" xfId="1" applyNumberFormat="1" applyFont="1" applyBorder="1" applyAlignment="1">
      <alignment horizontal="left"/>
    </xf>
    <xf numFmtId="1" fontId="2" fillId="0" borderId="13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22" fillId="0" borderId="57" xfId="0" applyFont="1" applyBorder="1" applyAlignment="1">
      <alignment horizontal="left"/>
    </xf>
    <xf numFmtId="0" fontId="22" fillId="0" borderId="58" xfId="0" applyFont="1" applyBorder="1" applyAlignment="1">
      <alignment horizontal="left"/>
    </xf>
    <xf numFmtId="1" fontId="14" fillId="0" borderId="21" xfId="0" applyNumberFormat="1" applyFont="1" applyBorder="1" applyAlignment="1">
      <alignment horizontal="left" vertical="center"/>
    </xf>
    <xf numFmtId="1" fontId="14" fillId="0" borderId="19" xfId="0" applyNumberFormat="1" applyFont="1" applyBorder="1" applyAlignment="1">
      <alignment horizontal="left" vertical="center"/>
    </xf>
    <xf numFmtId="1" fontId="25" fillId="0" borderId="74" xfId="0" applyNumberFormat="1" applyFont="1" applyBorder="1" applyAlignment="1">
      <alignment horizontal="left" vertical="center"/>
    </xf>
    <xf numFmtId="1" fontId="25" fillId="0" borderId="58" xfId="0" applyNumberFormat="1" applyFont="1" applyBorder="1" applyAlignment="1">
      <alignment horizontal="left" vertical="center"/>
    </xf>
    <xf numFmtId="1" fontId="14" fillId="0" borderId="21" xfId="0" applyNumberFormat="1" applyFont="1" applyBorder="1" applyAlignment="1">
      <alignment horizontal="left"/>
    </xf>
    <xf numFmtId="1" fontId="14" fillId="0" borderId="19" xfId="0" applyNumberFormat="1" applyFont="1" applyBorder="1" applyAlignment="1">
      <alignment horizontal="left"/>
    </xf>
    <xf numFmtId="1" fontId="14" fillId="0" borderId="21" xfId="2" applyNumberFormat="1" applyFont="1" applyBorder="1" applyAlignment="1">
      <alignment horizontal="left"/>
    </xf>
    <xf numFmtId="1" fontId="14" fillId="0" borderId="39" xfId="2" applyNumberFormat="1" applyFont="1" applyBorder="1" applyAlignment="1">
      <alignment horizontal="left"/>
    </xf>
    <xf numFmtId="1" fontId="21" fillId="0" borderId="21" xfId="0" applyNumberFormat="1" applyFont="1" applyBorder="1" applyAlignment="1">
      <alignment horizontal="left"/>
    </xf>
    <xf numFmtId="1" fontId="21" fillId="0" borderId="19" xfId="0" applyNumberFormat="1" applyFont="1" applyBorder="1" applyAlignment="1">
      <alignment horizontal="left"/>
    </xf>
    <xf numFmtId="1" fontId="14" fillId="0" borderId="21" xfId="0" applyNumberFormat="1" applyFont="1" applyFill="1" applyBorder="1" applyAlignment="1">
      <alignment horizontal="left"/>
    </xf>
    <xf numFmtId="1" fontId="14" fillId="0" borderId="19" xfId="0" applyNumberFormat="1" applyFont="1" applyFill="1" applyBorder="1" applyAlignment="1">
      <alignment horizontal="left"/>
    </xf>
    <xf numFmtId="1" fontId="14" fillId="0" borderId="21" xfId="1" applyNumberFormat="1" applyFont="1" applyBorder="1" applyAlignment="1">
      <alignment horizontal="left"/>
    </xf>
    <xf numFmtId="1" fontId="14" fillId="0" borderId="19" xfId="1" applyNumberFormat="1" applyFont="1" applyBorder="1" applyAlignment="1">
      <alignment horizontal="left"/>
    </xf>
    <xf numFmtId="1" fontId="14" fillId="0" borderId="66" xfId="0" applyNumberFormat="1" applyFont="1" applyBorder="1" applyAlignment="1">
      <alignment horizontal="left" vertical="center"/>
    </xf>
    <xf numFmtId="1" fontId="14" fillId="0" borderId="53" xfId="0" applyNumberFormat="1" applyFont="1" applyBorder="1" applyAlignment="1">
      <alignment horizontal="left" vertical="center"/>
    </xf>
    <xf numFmtId="1" fontId="13" fillId="0" borderId="66" xfId="0" applyNumberFormat="1" applyFont="1" applyBorder="1" applyAlignment="1">
      <alignment horizontal="left"/>
    </xf>
    <xf numFmtId="1" fontId="13" fillId="0" borderId="53" xfId="0" applyNumberFormat="1" applyFont="1" applyBorder="1" applyAlignment="1">
      <alignment horizontal="left"/>
    </xf>
    <xf numFmtId="2" fontId="13" fillId="0" borderId="66" xfId="0" applyNumberFormat="1" applyFont="1" applyBorder="1" applyAlignment="1">
      <alignment horizontal="left"/>
    </xf>
    <xf numFmtId="2" fontId="13" fillId="0" borderId="53" xfId="0" applyNumberFormat="1" applyFont="1" applyBorder="1" applyAlignment="1">
      <alignment horizontal="left"/>
    </xf>
    <xf numFmtId="1" fontId="13" fillId="0" borderId="73" xfId="0" applyNumberFormat="1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0" fontId="16" fillId="0" borderId="66" xfId="0" applyFont="1" applyBorder="1" applyAlignment="1">
      <alignment horizontal="left"/>
    </xf>
    <xf numFmtId="0" fontId="16" fillId="0" borderId="53" xfId="0" applyFont="1" applyBorder="1" applyAlignment="1">
      <alignment horizontal="left"/>
    </xf>
    <xf numFmtId="1" fontId="13" fillId="0" borderId="66" xfId="0" applyNumberFormat="1" applyFont="1" applyFill="1" applyBorder="1" applyAlignment="1">
      <alignment horizontal="left"/>
    </xf>
    <xf numFmtId="1" fontId="13" fillId="0" borderId="53" xfId="0" applyNumberFormat="1" applyFont="1" applyFill="1" applyBorder="1" applyAlignment="1">
      <alignment horizontal="left"/>
    </xf>
    <xf numFmtId="1" fontId="13" fillId="0" borderId="66" xfId="1" applyNumberFormat="1" applyFont="1" applyBorder="1" applyAlignment="1">
      <alignment horizontal="left"/>
    </xf>
    <xf numFmtId="1" fontId="13" fillId="0" borderId="53" xfId="1" applyNumberFormat="1" applyFont="1" applyBorder="1" applyAlignment="1">
      <alignment horizontal="left"/>
    </xf>
    <xf numFmtId="1" fontId="14" fillId="0" borderId="36" xfId="0" applyNumberFormat="1" applyFont="1" applyBorder="1" applyAlignment="1">
      <alignment horizontal="left" vertical="center"/>
    </xf>
    <xf numFmtId="1" fontId="14" fillId="0" borderId="13" xfId="0" applyNumberFormat="1" applyFont="1" applyBorder="1" applyAlignment="1">
      <alignment horizontal="left" vertical="center"/>
    </xf>
    <xf numFmtId="0" fontId="18" fillId="0" borderId="16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1" fontId="22" fillId="0" borderId="45" xfId="0" applyNumberFormat="1" applyFont="1" applyFill="1" applyBorder="1" applyAlignment="1">
      <alignment horizontal="left" vertical="center" wrapText="1"/>
    </xf>
    <xf numFmtId="0" fontId="18" fillId="0" borderId="38" xfId="0" applyFont="1" applyBorder="1" applyAlignment="1">
      <alignment horizontal="left"/>
    </xf>
    <xf numFmtId="0" fontId="18" fillId="0" borderId="75" xfId="0" applyFont="1" applyBorder="1" applyAlignment="1">
      <alignment horizontal="left"/>
    </xf>
    <xf numFmtId="0" fontId="18" fillId="0" borderId="76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4" fillId="0" borderId="72" xfId="0" applyFont="1" applyBorder="1" applyAlignment="1">
      <alignment vertical="center"/>
    </xf>
    <xf numFmtId="0" fontId="14" fillId="0" borderId="75" xfId="0" applyFont="1" applyBorder="1" applyAlignment="1">
      <alignment vertical="center"/>
    </xf>
    <xf numFmtId="2" fontId="29" fillId="0" borderId="71" xfId="1" applyNumberFormat="1" applyFont="1" applyBorder="1" applyAlignment="1">
      <alignment horizontal="left"/>
    </xf>
    <xf numFmtId="2" fontId="29" fillId="0" borderId="56" xfId="0" applyNumberFormat="1" applyFont="1" applyBorder="1" applyAlignment="1">
      <alignment horizontal="left"/>
    </xf>
    <xf numFmtId="2" fontId="41" fillId="0" borderId="21" xfId="0" applyNumberFormat="1" applyFont="1" applyBorder="1" applyAlignment="1">
      <alignment horizontal="left" vertical="center"/>
    </xf>
    <xf numFmtId="2" fontId="41" fillId="0" borderId="19" xfId="0" applyNumberFormat="1" applyFont="1" applyBorder="1" applyAlignment="1">
      <alignment horizontal="left" vertical="center"/>
    </xf>
    <xf numFmtId="2" fontId="14" fillId="0" borderId="21" xfId="0" applyNumberFormat="1" applyFont="1" applyBorder="1" applyAlignment="1">
      <alignment horizontal="left"/>
    </xf>
    <xf numFmtId="2" fontId="14" fillId="0" borderId="39" xfId="0" applyNumberFormat="1" applyFont="1" applyBorder="1" applyAlignment="1">
      <alignment horizontal="left"/>
    </xf>
    <xf numFmtId="2" fontId="14" fillId="0" borderId="19" xfId="0" applyNumberFormat="1" applyFont="1" applyBorder="1" applyAlignment="1">
      <alignment horizontal="left"/>
    </xf>
    <xf numFmtId="2" fontId="14" fillId="0" borderId="18" xfId="0" applyNumberFormat="1" applyFont="1" applyBorder="1" applyAlignment="1">
      <alignment horizontal="left"/>
    </xf>
    <xf numFmtId="2" fontId="14" fillId="0" borderId="20" xfId="0" applyNumberFormat="1" applyFont="1" applyBorder="1" applyAlignment="1">
      <alignment horizontal="left"/>
    </xf>
    <xf numFmtId="2" fontId="41" fillId="0" borderId="21" xfId="0" applyNumberFormat="1" applyFont="1" applyBorder="1" applyAlignment="1">
      <alignment horizontal="left"/>
    </xf>
    <xf numFmtId="2" fontId="41" fillId="0" borderId="19" xfId="0" applyNumberFormat="1" applyFont="1" applyBorder="1" applyAlignment="1">
      <alignment horizontal="left"/>
    </xf>
    <xf numFmtId="2" fontId="41" fillId="0" borderId="39" xfId="0" applyNumberFormat="1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2" fontId="14" fillId="0" borderId="21" xfId="0" applyNumberFormat="1" applyFont="1" applyFill="1" applyBorder="1" applyAlignment="1">
      <alignment horizontal="left"/>
    </xf>
    <xf numFmtId="2" fontId="14" fillId="0" borderId="19" xfId="0" applyNumberFormat="1" applyFont="1" applyFill="1" applyBorder="1" applyAlignment="1">
      <alignment horizontal="left"/>
    </xf>
    <xf numFmtId="2" fontId="14" fillId="0" borderId="21" xfId="1" applyNumberFormat="1" applyFont="1" applyBorder="1" applyAlignment="1">
      <alignment horizontal="left"/>
    </xf>
    <xf numFmtId="2" fontId="14" fillId="0" borderId="19" xfId="1" applyNumberFormat="1" applyFont="1" applyBorder="1" applyAlignment="1">
      <alignment horizontal="left"/>
    </xf>
    <xf numFmtId="2" fontId="14" fillId="0" borderId="14" xfId="0" applyNumberFormat="1" applyFont="1" applyBorder="1" applyAlignment="1">
      <alignment horizontal="left" vertical="center"/>
    </xf>
    <xf numFmtId="2" fontId="14" fillId="0" borderId="21" xfId="0" applyNumberFormat="1" applyFont="1" applyBorder="1" applyAlignment="1">
      <alignment horizontal="left" vertical="center"/>
    </xf>
    <xf numFmtId="2" fontId="14" fillId="0" borderId="19" xfId="0" applyNumberFormat="1" applyFont="1" applyBorder="1" applyAlignment="1">
      <alignment horizontal="left" vertical="center"/>
    </xf>
    <xf numFmtId="2" fontId="25" fillId="0" borderId="64" xfId="0" applyNumberFormat="1" applyFont="1" applyBorder="1" applyAlignment="1">
      <alignment horizontal="left" vertical="center"/>
    </xf>
    <xf numFmtId="2" fontId="25" fillId="0" borderId="74" xfId="0" applyNumberFormat="1" applyFont="1" applyBorder="1" applyAlignment="1">
      <alignment horizontal="left" vertical="center"/>
    </xf>
    <xf numFmtId="2" fontId="25" fillId="0" borderId="65" xfId="0" applyNumberFormat="1" applyFont="1" applyBorder="1" applyAlignment="1">
      <alignment horizontal="left" vertical="center"/>
    </xf>
    <xf numFmtId="2" fontId="25" fillId="0" borderId="59" xfId="0" applyNumberFormat="1" applyFont="1" applyBorder="1" applyAlignment="1">
      <alignment horizontal="left" vertical="center"/>
    </xf>
    <xf numFmtId="2" fontId="25" fillId="0" borderId="61" xfId="1" applyNumberFormat="1" applyFont="1" applyBorder="1" applyAlignment="1">
      <alignment horizontal="left"/>
    </xf>
    <xf numFmtId="0" fontId="24" fillId="0" borderId="31" xfId="0" applyFont="1" applyBorder="1" applyAlignment="1">
      <alignment horizontal="left"/>
    </xf>
    <xf numFmtId="2" fontId="23" fillId="0" borderId="5" xfId="2" applyNumberFormat="1" applyFont="1" applyBorder="1" applyAlignment="1">
      <alignment horizontal="left"/>
    </xf>
    <xf numFmtId="2" fontId="23" fillId="0" borderId="20" xfId="2" applyNumberFormat="1" applyFont="1" applyBorder="1" applyAlignment="1">
      <alignment horizontal="left"/>
    </xf>
    <xf numFmtId="2" fontId="23" fillId="0" borderId="19" xfId="2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22" fillId="0" borderId="77" xfId="0" applyFont="1" applyBorder="1" applyAlignment="1">
      <alignment horizontal="left" vertical="center"/>
    </xf>
    <xf numFmtId="1" fontId="35" fillId="0" borderId="57" xfId="0" applyNumberFormat="1" applyFont="1" applyBorder="1" applyAlignment="1">
      <alignment horizontal="left" vertical="center"/>
    </xf>
    <xf numFmtId="0" fontId="23" fillId="0" borderId="27" xfId="0" applyFont="1" applyBorder="1" applyAlignment="1">
      <alignment horizontal="left"/>
    </xf>
    <xf numFmtId="1" fontId="15" fillId="0" borderId="77" xfId="0" applyNumberFormat="1" applyFont="1" applyBorder="1" applyAlignment="1">
      <alignment horizontal="left"/>
    </xf>
    <xf numFmtId="1" fontId="15" fillId="0" borderId="5" xfId="0" applyNumberFormat="1" applyFont="1" applyBorder="1" applyAlignment="1">
      <alignment horizontal="left"/>
    </xf>
    <xf numFmtId="1" fontId="23" fillId="0" borderId="55" xfId="0" applyNumberFormat="1" applyFont="1" applyBorder="1" applyAlignment="1">
      <alignment horizontal="left"/>
    </xf>
    <xf numFmtId="0" fontId="22" fillId="0" borderId="53" xfId="0" applyFont="1" applyBorder="1" applyAlignment="1">
      <alignment horizontal="left" vertical="center"/>
    </xf>
    <xf numFmtId="1" fontId="23" fillId="0" borderId="3" xfId="0" applyNumberFormat="1" applyFont="1" applyFill="1" applyBorder="1" applyAlignment="1">
      <alignment horizontal="left"/>
    </xf>
    <xf numFmtId="1" fontId="23" fillId="0" borderId="19" xfId="0" applyNumberFormat="1" applyFont="1" applyFill="1" applyBorder="1" applyAlignment="1">
      <alignment horizontal="left"/>
    </xf>
    <xf numFmtId="1" fontId="20" fillId="0" borderId="20" xfId="0" applyNumberFormat="1" applyFont="1" applyBorder="1" applyAlignment="1">
      <alignment horizontal="left" vertical="center"/>
    </xf>
    <xf numFmtId="1" fontId="23" fillId="0" borderId="19" xfId="0" applyNumberFormat="1" applyFont="1" applyBorder="1" applyAlignment="1">
      <alignment horizontal="left" vertical="center"/>
    </xf>
    <xf numFmtId="1" fontId="23" fillId="0" borderId="23" xfId="0" applyNumberFormat="1" applyFont="1" applyBorder="1" applyAlignment="1">
      <alignment horizontal="left" vertical="center"/>
    </xf>
    <xf numFmtId="1" fontId="23" fillId="0" borderId="19" xfId="2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" fontId="24" fillId="0" borderId="5" xfId="0" applyNumberFormat="1" applyFont="1" applyBorder="1" applyAlignment="1">
      <alignment horizontal="left"/>
    </xf>
    <xf numFmtId="1" fontId="15" fillId="0" borderId="20" xfId="0" applyNumberFormat="1" applyFont="1" applyBorder="1" applyAlignment="1">
      <alignment horizontal="left"/>
    </xf>
    <xf numFmtId="1" fontId="24" fillId="0" borderId="3" xfId="0" applyNumberFormat="1" applyFont="1" applyBorder="1" applyAlignment="1">
      <alignment horizontal="left"/>
    </xf>
    <xf numFmtId="1" fontId="15" fillId="0" borderId="19" xfId="0" applyNumberFormat="1" applyFont="1" applyBorder="1" applyAlignment="1">
      <alignment horizontal="left"/>
    </xf>
    <xf numFmtId="1" fontId="35" fillId="0" borderId="65" xfId="0" applyNumberFormat="1" applyFont="1" applyBorder="1" applyAlignment="1">
      <alignment horizontal="left"/>
    </xf>
    <xf numFmtId="1" fontId="23" fillId="0" borderId="20" xfId="1" applyNumberFormat="1" applyFont="1" applyBorder="1" applyAlignment="1">
      <alignment horizontal="left"/>
    </xf>
    <xf numFmtId="1" fontId="22" fillId="0" borderId="15" xfId="1" applyNumberFormat="1" applyFont="1" applyBorder="1" applyAlignment="1">
      <alignment horizontal="left"/>
    </xf>
    <xf numFmtId="1" fontId="22" fillId="0" borderId="16" xfId="1" applyNumberFormat="1" applyFont="1" applyBorder="1" applyAlignment="1">
      <alignment horizontal="left"/>
    </xf>
    <xf numFmtId="1" fontId="35" fillId="0" borderId="58" xfId="1" applyNumberFormat="1" applyFont="1" applyBorder="1" applyAlignment="1">
      <alignment horizontal="left"/>
    </xf>
    <xf numFmtId="3" fontId="15" fillId="0" borderId="5" xfId="0" applyNumberFormat="1" applyFont="1" applyBorder="1" applyAlignment="1">
      <alignment horizontal="left"/>
    </xf>
    <xf numFmtId="3" fontId="35" fillId="0" borderId="55" xfId="0" applyNumberFormat="1" applyFont="1" applyBorder="1" applyAlignment="1">
      <alignment horizontal="left"/>
    </xf>
    <xf numFmtId="0" fontId="35" fillId="0" borderId="59" xfId="0" applyFont="1" applyBorder="1" applyAlignment="1">
      <alignment horizontal="left" vertical="justify" wrapText="1"/>
    </xf>
    <xf numFmtId="0" fontId="21" fillId="0" borderId="52" xfId="0" applyFont="1" applyBorder="1" applyAlignment="1">
      <alignment horizontal="left"/>
    </xf>
    <xf numFmtId="1" fontId="14" fillId="0" borderId="56" xfId="0" applyNumberFormat="1" applyFont="1" applyBorder="1" applyAlignment="1">
      <alignment vertical="justify" wrapText="1"/>
    </xf>
    <xf numFmtId="1" fontId="14" fillId="0" borderId="71" xfId="0" applyNumberFormat="1" applyFont="1" applyBorder="1" applyAlignment="1">
      <alignment vertical="center" wrapText="1"/>
    </xf>
    <xf numFmtId="0" fontId="14" fillId="0" borderId="59" xfId="0" applyFont="1" applyBorder="1" applyAlignment="1">
      <alignment vertical="center" wrapText="1"/>
    </xf>
    <xf numFmtId="0" fontId="14" fillId="0" borderId="45" xfId="0" applyFont="1" applyBorder="1" applyAlignment="1">
      <alignment vertical="center" wrapText="1"/>
    </xf>
    <xf numFmtId="1" fontId="14" fillId="0" borderId="45" xfId="0" applyNumberFormat="1" applyFont="1" applyBorder="1" applyAlignment="1">
      <alignment vertical="center" wrapText="1"/>
    </xf>
    <xf numFmtId="0" fontId="14" fillId="0" borderId="71" xfId="0" applyFont="1" applyBorder="1"/>
    <xf numFmtId="0" fontId="42" fillId="0" borderId="30" xfId="0" applyFont="1" applyBorder="1" applyAlignment="1">
      <alignment horizontal="left"/>
    </xf>
    <xf numFmtId="0" fontId="43" fillId="0" borderId="30" xfId="0" applyFont="1" applyBorder="1"/>
    <xf numFmtId="2" fontId="44" fillId="0" borderId="15" xfId="0" applyNumberFormat="1" applyFont="1" applyBorder="1" applyAlignment="1">
      <alignment vertical="center"/>
    </xf>
    <xf numFmtId="2" fontId="44" fillId="0" borderId="16" xfId="0" applyNumberFormat="1" applyFont="1" applyBorder="1" applyAlignment="1">
      <alignment horizontal="right"/>
    </xf>
    <xf numFmtId="2" fontId="44" fillId="0" borderId="15" xfId="0" applyNumberFormat="1" applyFont="1" applyBorder="1" applyAlignment="1">
      <alignment horizontal="right"/>
    </xf>
    <xf numFmtId="2" fontId="45" fillId="0" borderId="16" xfId="0" applyNumberFormat="1" applyFont="1" applyBorder="1" applyAlignment="1">
      <alignment horizontal="right"/>
    </xf>
    <xf numFmtId="2" fontId="45" fillId="0" borderId="16" xfId="0" applyNumberFormat="1" applyFont="1" applyBorder="1" applyAlignment="1">
      <alignment horizontal="left"/>
    </xf>
    <xf numFmtId="2" fontId="44" fillId="0" borderId="16" xfId="2" applyNumberFormat="1" applyFont="1" applyBorder="1" applyAlignment="1">
      <alignment horizontal="right"/>
    </xf>
    <xf numFmtId="2" fontId="44" fillId="0" borderId="16" xfId="0" applyNumberFormat="1" applyFont="1" applyBorder="1" applyAlignment="1">
      <alignment horizontal="right" wrapText="1"/>
    </xf>
    <xf numFmtId="3" fontId="42" fillId="0" borderId="16" xfId="0" applyNumberFormat="1" applyFont="1" applyBorder="1" applyAlignment="1">
      <alignment horizontal="right"/>
    </xf>
    <xf numFmtId="2" fontId="44" fillId="0" borderId="16" xfId="0" applyNumberFormat="1" applyFont="1" applyFill="1" applyBorder="1" applyAlignment="1">
      <alignment horizontal="right"/>
    </xf>
    <xf numFmtId="2" fontId="44" fillId="0" borderId="16" xfId="1" applyNumberFormat="1" applyFont="1" applyBorder="1" applyAlignment="1">
      <alignment horizontal="right"/>
    </xf>
    <xf numFmtId="0" fontId="43" fillId="0" borderId="0" xfId="0" applyFont="1"/>
    <xf numFmtId="2" fontId="42" fillId="0" borderId="16" xfId="0" applyNumberFormat="1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52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45" fillId="0" borderId="15" xfId="0" applyFont="1" applyBorder="1" applyAlignment="1">
      <alignment horizontal="left"/>
    </xf>
    <xf numFmtId="0" fontId="45" fillId="0" borderId="30" xfId="0" applyFont="1" applyBorder="1" applyAlignment="1">
      <alignment horizontal="left"/>
    </xf>
    <xf numFmtId="0" fontId="45" fillId="0" borderId="1" xfId="0" applyFont="1" applyBorder="1" applyAlignment="1">
      <alignment horizontal="left"/>
    </xf>
    <xf numFmtId="0" fontId="45" fillId="0" borderId="0" xfId="0" applyFont="1"/>
    <xf numFmtId="0" fontId="45" fillId="0" borderId="46" xfId="0" applyFont="1" applyBorder="1" applyAlignment="1">
      <alignment horizontal="left"/>
    </xf>
    <xf numFmtId="0" fontId="45" fillId="0" borderId="70" xfId="0" applyFont="1" applyBorder="1" applyAlignment="1">
      <alignment horizontal="left"/>
    </xf>
    <xf numFmtId="0" fontId="45" fillId="0" borderId="54" xfId="0" applyFont="1" applyBorder="1" applyAlignment="1">
      <alignment horizontal="left"/>
    </xf>
    <xf numFmtId="0" fontId="45" fillId="0" borderId="48" xfId="0" applyFont="1" applyBorder="1" applyAlignment="1">
      <alignment horizontal="left"/>
    </xf>
    <xf numFmtId="0" fontId="45" fillId="0" borderId="12" xfId="0" applyFont="1" applyBorder="1" applyAlignment="1">
      <alignment horizontal="left"/>
    </xf>
    <xf numFmtId="0" fontId="45" fillId="0" borderId="47" xfId="0" applyFont="1" applyBorder="1" applyAlignment="1">
      <alignment horizontal="left"/>
    </xf>
    <xf numFmtId="0" fontId="43" fillId="0" borderId="46" xfId="0" applyFont="1" applyBorder="1" applyAlignment="1">
      <alignment horizontal="left"/>
    </xf>
    <xf numFmtId="0" fontId="45" fillId="0" borderId="0" xfId="0" applyFont="1" applyAlignment="1">
      <alignment horizontal="left"/>
    </xf>
    <xf numFmtId="0" fontId="35" fillId="0" borderId="64" xfId="0" applyFont="1" applyBorder="1" applyAlignment="1">
      <alignment horizontal="left"/>
    </xf>
    <xf numFmtId="0" fontId="35" fillId="0" borderId="65" xfId="0" applyFont="1" applyBorder="1" applyAlignment="1">
      <alignment horizontal="left"/>
    </xf>
    <xf numFmtId="0" fontId="25" fillId="0" borderId="56" xfId="0" applyFont="1" applyBorder="1" applyAlignment="1">
      <alignment horizontal="left"/>
    </xf>
    <xf numFmtId="0" fontId="22" fillId="0" borderId="56" xfId="0" applyFont="1" applyBorder="1" applyAlignment="1">
      <alignment horizontal="left"/>
    </xf>
    <xf numFmtId="1" fontId="13" fillId="0" borderId="28" xfId="0" applyNumberFormat="1" applyFont="1" applyBorder="1" applyAlignment="1">
      <alignment horizontal="left" vertical="center"/>
    </xf>
    <xf numFmtId="1" fontId="13" fillId="0" borderId="18" xfId="0" applyNumberFormat="1" applyFont="1" applyBorder="1" applyAlignment="1">
      <alignment horizontal="left" vertical="center"/>
    </xf>
    <xf numFmtId="1" fontId="2" fillId="0" borderId="51" xfId="0" applyNumberFormat="1" applyFont="1" applyBorder="1" applyAlignment="1">
      <alignment horizontal="left" vertical="center"/>
    </xf>
    <xf numFmtId="2" fontId="13" fillId="0" borderId="18" xfId="0" applyNumberFormat="1" applyFont="1" applyBorder="1" applyAlignment="1">
      <alignment horizontal="left"/>
    </xf>
    <xf numFmtId="2" fontId="5" fillId="0" borderId="51" xfId="0" applyNumberFormat="1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20" fillId="0" borderId="7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1" fontId="14" fillId="0" borderId="56" xfId="0" applyNumberFormat="1" applyFont="1" applyBorder="1" applyAlignment="1">
      <alignment horizontal="center" vertical="center" wrapText="1"/>
    </xf>
    <xf numFmtId="1" fontId="14" fillId="0" borderId="58" xfId="0" applyNumberFormat="1" applyFont="1" applyBorder="1" applyAlignment="1">
      <alignment horizontal="center" vertical="center" wrapText="1"/>
    </xf>
    <xf numFmtId="1" fontId="14" fillId="0" borderId="56" xfId="0" applyNumberFormat="1" applyFont="1" applyFill="1" applyBorder="1" applyAlignment="1">
      <alignment horizontal="center" vertical="center" wrapText="1"/>
    </xf>
    <xf numFmtId="1" fontId="14" fillId="0" borderId="58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/>
    </xf>
    <xf numFmtId="1" fontId="9" fillId="0" borderId="0" xfId="0" applyNumberFormat="1" applyFont="1" applyBorder="1" applyAlignment="1">
      <alignment horizontal="left"/>
    </xf>
    <xf numFmtId="1" fontId="14" fillId="0" borderId="38" xfId="0" applyNumberFormat="1" applyFont="1" applyBorder="1" applyAlignment="1">
      <alignment horizontal="left" vertical="center"/>
    </xf>
    <xf numFmtId="1" fontId="14" fillId="0" borderId="15" xfId="0" applyNumberFormat="1" applyFont="1" applyBorder="1" applyAlignment="1">
      <alignment horizontal="left" vertical="center"/>
    </xf>
    <xf numFmtId="1" fontId="14" fillId="0" borderId="56" xfId="0" applyNumberFormat="1" applyFont="1" applyBorder="1" applyAlignment="1">
      <alignment horizontal="justify" vertical="justify" wrapText="1"/>
    </xf>
    <xf numFmtId="1" fontId="14" fillId="0" borderId="58" xfId="0" applyNumberFormat="1" applyFont="1" applyBorder="1" applyAlignment="1">
      <alignment horizontal="justify" vertical="justify" wrapText="1"/>
    </xf>
    <xf numFmtId="0" fontId="46" fillId="0" borderId="0" xfId="0" applyFont="1" applyBorder="1" applyAlignment="1">
      <alignment horizontal="left"/>
    </xf>
    <xf numFmtId="0" fontId="47" fillId="0" borderId="45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 wrapText="1"/>
    </xf>
    <xf numFmtId="0" fontId="20" fillId="0" borderId="75" xfId="0" applyFont="1" applyFill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justify" wrapText="1"/>
    </xf>
    <xf numFmtId="0" fontId="20" fillId="0" borderId="75" xfId="0" applyFont="1" applyBorder="1" applyAlignment="1">
      <alignment horizontal="center" vertical="justify" wrapText="1"/>
    </xf>
    <xf numFmtId="1" fontId="46" fillId="0" borderId="0" xfId="0" applyNumberFormat="1" applyFont="1" applyBorder="1" applyAlignment="1">
      <alignment horizontal="left"/>
    </xf>
    <xf numFmtId="1" fontId="22" fillId="0" borderId="71" xfId="0" applyNumberFormat="1" applyFont="1" applyBorder="1" applyAlignment="1">
      <alignment horizontal="center" vertical="center"/>
    </xf>
    <xf numFmtId="1" fontId="22" fillId="0" borderId="26" xfId="0" applyNumberFormat="1" applyFont="1" applyBorder="1" applyAlignment="1">
      <alignment horizontal="center" vertical="center"/>
    </xf>
    <xf numFmtId="1" fontId="22" fillId="0" borderId="57" xfId="0" applyNumberFormat="1" applyFont="1" applyBorder="1" applyAlignment="1">
      <alignment horizontal="center" vertical="center" wrapText="1"/>
    </xf>
    <xf numFmtId="1" fontId="22" fillId="0" borderId="58" xfId="0" applyNumberFormat="1" applyFont="1" applyBorder="1" applyAlignment="1">
      <alignment horizontal="center" vertical="center" wrapText="1"/>
    </xf>
    <xf numFmtId="1" fontId="22" fillId="0" borderId="57" xfId="0" applyNumberFormat="1" applyFont="1" applyFill="1" applyBorder="1" applyAlignment="1">
      <alignment horizontal="center" vertical="center" wrapText="1"/>
    </xf>
    <xf numFmtId="1" fontId="22" fillId="0" borderId="58" xfId="0" applyNumberFormat="1" applyFont="1" applyFill="1" applyBorder="1" applyAlignment="1">
      <alignment horizontal="center" vertical="center" wrapText="1"/>
    </xf>
    <xf numFmtId="1" fontId="22" fillId="0" borderId="56" xfId="0" applyNumberFormat="1" applyFont="1" applyBorder="1" applyAlignment="1">
      <alignment horizontal="center" vertical="center" wrapText="1"/>
    </xf>
    <xf numFmtId="1" fontId="22" fillId="0" borderId="56" xfId="0" applyNumberFormat="1" applyFont="1" applyBorder="1" applyAlignment="1">
      <alignment horizontal="justify" vertical="justify" wrapText="1"/>
    </xf>
    <xf numFmtId="1" fontId="22" fillId="0" borderId="58" xfId="0" applyNumberFormat="1" applyFont="1" applyBorder="1" applyAlignment="1">
      <alignment horizontal="justify" vertical="justify" wrapText="1"/>
    </xf>
    <xf numFmtId="1" fontId="22" fillId="0" borderId="56" xfId="0" applyNumberFormat="1" applyFont="1" applyFill="1" applyBorder="1" applyAlignment="1">
      <alignment horizontal="center" vertical="center" wrapText="1"/>
    </xf>
    <xf numFmtId="1" fontId="20" fillId="0" borderId="71" xfId="0" applyNumberFormat="1" applyFont="1" applyFill="1" applyBorder="1" applyAlignment="1">
      <alignment horizontal="center" vertical="center" wrapText="1"/>
    </xf>
    <xf numFmtId="1" fontId="20" fillId="0" borderId="50" xfId="0" applyNumberFormat="1" applyFont="1" applyFill="1" applyBorder="1" applyAlignment="1">
      <alignment horizontal="center" vertical="center" wrapText="1"/>
    </xf>
    <xf numFmtId="1" fontId="20" fillId="0" borderId="49" xfId="0" applyNumberFormat="1" applyFont="1" applyFill="1" applyBorder="1" applyAlignment="1">
      <alignment horizontal="center" vertical="center" wrapText="1"/>
    </xf>
    <xf numFmtId="1" fontId="20" fillId="0" borderId="71" xfId="0" applyNumberFormat="1" applyFont="1" applyFill="1" applyBorder="1" applyAlignment="1">
      <alignment horizontal="justify" vertical="justify" wrapText="1"/>
    </xf>
    <xf numFmtId="1" fontId="20" fillId="0" borderId="50" xfId="0" applyNumberFormat="1" applyFont="1" applyFill="1" applyBorder="1" applyAlignment="1">
      <alignment horizontal="justify" vertical="justify" wrapText="1"/>
    </xf>
    <xf numFmtId="1" fontId="38" fillId="0" borderId="0" xfId="0" applyNumberFormat="1" applyFont="1" applyFill="1" applyBorder="1" applyAlignment="1">
      <alignment horizontal="left"/>
    </xf>
    <xf numFmtId="1" fontId="20" fillId="0" borderId="39" xfId="0" applyNumberFormat="1" applyFont="1" applyBorder="1" applyAlignment="1">
      <alignment horizontal="left" vertical="center"/>
    </xf>
    <xf numFmtId="1" fontId="20" fillId="0" borderId="73" xfId="0" applyNumberFormat="1" applyFont="1" applyBorder="1" applyAlignment="1">
      <alignment horizontal="left" vertical="center"/>
    </xf>
    <xf numFmtId="1" fontId="20" fillId="0" borderId="56" xfId="0" applyNumberFormat="1" applyFont="1" applyBorder="1" applyAlignment="1">
      <alignment horizontal="center" vertical="center" wrapText="1"/>
    </xf>
    <xf numFmtId="1" fontId="20" fillId="0" borderId="58" xfId="0" applyNumberFormat="1" applyFont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1" fontId="20" fillId="0" borderId="57" xfId="0" applyNumberFormat="1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47" fillId="0" borderId="72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1" fontId="20" fillId="0" borderId="56" xfId="0" applyNumberFormat="1" applyFont="1" applyFill="1" applyBorder="1" applyAlignment="1">
      <alignment horizontal="center" vertical="center" wrapText="1"/>
    </xf>
    <xf numFmtId="1" fontId="20" fillId="0" borderId="58" xfId="0" applyNumberFormat="1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justify" vertical="justify" wrapText="1"/>
    </xf>
    <xf numFmtId="0" fontId="20" fillId="0" borderId="58" xfId="0" applyFont="1" applyBorder="1" applyAlignment="1">
      <alignment horizontal="justify" vertical="justify" wrapText="1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2" fillId="0" borderId="72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4" fillId="0" borderId="45" xfId="0" applyFont="1" applyBorder="1" applyAlignment="1">
      <alignment horizontal="left" vertical="center"/>
    </xf>
    <xf numFmtId="0" fontId="14" fillId="0" borderId="78" xfId="0" applyFont="1" applyBorder="1" applyAlignment="1">
      <alignment horizontal="left" vertical="center"/>
    </xf>
    <xf numFmtId="0" fontId="2" fillId="0" borderId="72" xfId="0" applyFont="1" applyBorder="1" applyAlignment="1">
      <alignment horizontal="justify" vertical="justify" wrapText="1"/>
    </xf>
    <xf numFmtId="0" fontId="2" fillId="0" borderId="75" xfId="0" applyFont="1" applyBorder="1" applyAlignment="1">
      <alignment horizontal="justify" vertical="justify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4" fillId="0" borderId="72" xfId="0" applyFont="1" applyFill="1" applyBorder="1" applyAlignment="1">
      <alignment horizontal="center" vertical="center" wrapText="1"/>
    </xf>
    <xf numFmtId="0" fontId="14" fillId="0" borderId="75" xfId="0" applyFont="1" applyFill="1" applyBorder="1" applyAlignment="1">
      <alignment horizontal="center" vertical="center" wrapText="1"/>
    </xf>
    <xf numFmtId="1" fontId="14" fillId="0" borderId="72" xfId="0" applyNumberFormat="1" applyFont="1" applyBorder="1" applyAlignment="1">
      <alignment horizontal="center" vertical="center" wrapText="1"/>
    </xf>
    <xf numFmtId="1" fontId="14" fillId="0" borderId="75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justify" wrapText="1"/>
    </xf>
    <xf numFmtId="0" fontId="3" fillId="0" borderId="56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0" fillId="0" borderId="45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3" fillId="0" borderId="57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71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56" xfId="0" applyFont="1" applyBorder="1" applyAlignment="1">
      <alignment horizontal="justify" vertical="justify" wrapText="1"/>
    </xf>
    <xf numFmtId="0" fontId="14" fillId="0" borderId="58" xfId="0" applyFont="1" applyBorder="1" applyAlignment="1">
      <alignment horizontal="justify" vertical="justify" wrapText="1"/>
    </xf>
  </cellXfs>
  <cellStyles count="3">
    <cellStyle name="Comma" xfId="1" builtinId="3"/>
    <cellStyle name="Comma 18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9"/>
  <sheetViews>
    <sheetView tabSelected="1" workbookViewId="0">
      <pane xSplit="1" topLeftCell="B1" activePane="topRight" state="frozen"/>
      <selection pane="topRight" activeCell="I2" sqref="I2"/>
    </sheetView>
    <sheetView workbookViewId="1">
      <selection sqref="A1:IV65536"/>
    </sheetView>
  </sheetViews>
  <sheetFormatPr defaultRowHeight="16.5" x14ac:dyDescent="0.3"/>
  <cols>
    <col min="1" max="1" width="65" style="107" bestFit="1" customWidth="1"/>
    <col min="2" max="2" width="3.85546875" style="107" customWidth="1"/>
    <col min="3" max="4" width="13.85546875" style="107" bestFit="1" customWidth="1"/>
    <col min="5" max="6" width="15.85546875" style="107" bestFit="1" customWidth="1"/>
    <col min="7" max="7" width="14.42578125" style="107" bestFit="1" customWidth="1"/>
    <col min="8" max="8" width="18.28515625" style="450" bestFit="1" customWidth="1"/>
    <col min="9" max="9" width="13.85546875" style="107" customWidth="1"/>
    <col min="10" max="10" width="12.85546875" style="107" bestFit="1" customWidth="1"/>
    <col min="11" max="12" width="13.85546875" style="107" bestFit="1" customWidth="1"/>
    <col min="13" max="14" width="14.5703125" style="107" bestFit="1" customWidth="1"/>
    <col min="15" max="15" width="13.42578125" style="107" bestFit="1" customWidth="1"/>
    <col min="16" max="16" width="13.85546875" style="107" bestFit="1" customWidth="1"/>
    <col min="17" max="17" width="13.42578125" style="107" customWidth="1"/>
    <col min="18" max="18" width="14.5703125" style="107" bestFit="1" customWidth="1"/>
    <col min="19" max="19" width="13.42578125" style="107" bestFit="1" customWidth="1"/>
    <col min="20" max="20" width="13.85546875" style="107" customWidth="1"/>
    <col min="21" max="22" width="12.42578125" style="107" bestFit="1" customWidth="1"/>
    <col min="23" max="23" width="13.42578125" style="107" bestFit="1" customWidth="1"/>
    <col min="24" max="25" width="13.85546875" style="107" bestFit="1" customWidth="1"/>
    <col min="26" max="28" width="15.7109375" style="107" bestFit="1" customWidth="1"/>
    <col min="29" max="16384" width="9.140625" style="107"/>
  </cols>
  <sheetData>
    <row r="1" spans="1:28" ht="18.75" thickBot="1" x14ac:dyDescent="0.4">
      <c r="A1" s="931" t="s">
        <v>248</v>
      </c>
      <c r="B1" s="931"/>
      <c r="C1" s="931"/>
      <c r="D1" s="931"/>
      <c r="E1" s="931"/>
      <c r="F1" s="931"/>
      <c r="G1" s="931"/>
      <c r="H1" s="931"/>
      <c r="I1" s="931"/>
      <c r="J1" s="931"/>
      <c r="K1" s="931"/>
      <c r="L1" s="931"/>
      <c r="M1" s="931"/>
      <c r="N1" s="931"/>
      <c r="O1" s="931"/>
      <c r="P1" s="931"/>
      <c r="Q1" s="931"/>
      <c r="R1" s="931"/>
      <c r="S1" s="931"/>
      <c r="T1" s="931"/>
      <c r="U1" s="931"/>
      <c r="V1" s="931"/>
      <c r="W1" s="931"/>
      <c r="X1" s="931"/>
      <c r="Y1" s="931"/>
      <c r="Z1" s="931"/>
      <c r="AA1" s="931"/>
      <c r="AB1" s="931"/>
    </row>
    <row r="2" spans="1:28" ht="69" customHeight="1" thickBot="1" x14ac:dyDescent="0.35">
      <c r="A2" s="932" t="s">
        <v>0</v>
      </c>
      <c r="B2" s="697"/>
      <c r="C2" s="621" t="s">
        <v>155</v>
      </c>
      <c r="D2" s="699" t="s">
        <v>156</v>
      </c>
      <c r="E2" s="619" t="s">
        <v>157</v>
      </c>
      <c r="F2" s="699" t="s">
        <v>158</v>
      </c>
      <c r="G2" s="699" t="s">
        <v>159</v>
      </c>
      <c r="H2" s="699" t="s">
        <v>160</v>
      </c>
      <c r="I2" s="699" t="s">
        <v>161</v>
      </c>
      <c r="J2" s="699" t="s">
        <v>162</v>
      </c>
      <c r="K2" s="699" t="s">
        <v>163</v>
      </c>
      <c r="L2" s="699" t="s">
        <v>164</v>
      </c>
      <c r="M2" s="699" t="s">
        <v>165</v>
      </c>
      <c r="N2" s="699" t="s">
        <v>166</v>
      </c>
      <c r="O2" s="699" t="s">
        <v>167</v>
      </c>
      <c r="P2" s="699" t="s">
        <v>168</v>
      </c>
      <c r="Q2" s="699" t="s">
        <v>169</v>
      </c>
      <c r="R2" s="699" t="s">
        <v>170</v>
      </c>
      <c r="S2" s="699" t="s">
        <v>171</v>
      </c>
      <c r="T2" s="699" t="s">
        <v>172</v>
      </c>
      <c r="U2" s="699" t="s">
        <v>173</v>
      </c>
      <c r="V2" s="699" t="s">
        <v>174</v>
      </c>
      <c r="W2" s="699" t="s">
        <v>175</v>
      </c>
      <c r="X2" s="699" t="s">
        <v>176</v>
      </c>
      <c r="Y2" s="699" t="s">
        <v>177</v>
      </c>
      <c r="Z2" s="699" t="s">
        <v>1</v>
      </c>
      <c r="AA2" s="699" t="s">
        <v>178</v>
      </c>
      <c r="AB2" s="699" t="s">
        <v>2</v>
      </c>
    </row>
    <row r="3" spans="1:28" s="514" customFormat="1" ht="15" customHeight="1" thickBot="1" x14ac:dyDescent="0.35">
      <c r="A3" s="933"/>
      <c r="B3" s="723"/>
      <c r="C3" s="571" t="s">
        <v>258</v>
      </c>
      <c r="D3" s="571" t="s">
        <v>258</v>
      </c>
      <c r="E3" s="571" t="s">
        <v>258</v>
      </c>
      <c r="F3" s="571" t="s">
        <v>258</v>
      </c>
      <c r="G3" s="571" t="s">
        <v>258</v>
      </c>
      <c r="H3" s="571" t="s">
        <v>258</v>
      </c>
      <c r="I3" s="571" t="s">
        <v>258</v>
      </c>
      <c r="J3" s="571" t="s">
        <v>258</v>
      </c>
      <c r="K3" s="571" t="s">
        <v>258</v>
      </c>
      <c r="L3" s="571" t="s">
        <v>258</v>
      </c>
      <c r="M3" s="571" t="s">
        <v>258</v>
      </c>
      <c r="N3" s="571" t="s">
        <v>258</v>
      </c>
      <c r="O3" s="571" t="s">
        <v>258</v>
      </c>
      <c r="P3" s="571" t="s">
        <v>258</v>
      </c>
      <c r="Q3" s="571" t="s">
        <v>258</v>
      </c>
      <c r="R3" s="571" t="s">
        <v>258</v>
      </c>
      <c r="S3" s="571" t="s">
        <v>258</v>
      </c>
      <c r="T3" s="571" t="s">
        <v>258</v>
      </c>
      <c r="U3" s="571" t="s">
        <v>258</v>
      </c>
      <c r="V3" s="571" t="s">
        <v>258</v>
      </c>
      <c r="W3" s="571" t="s">
        <v>258</v>
      </c>
      <c r="X3" s="571" t="s">
        <v>258</v>
      </c>
      <c r="Y3" s="571" t="s">
        <v>258</v>
      </c>
      <c r="Z3" s="571" t="s">
        <v>258</v>
      </c>
      <c r="AA3" s="571" t="s">
        <v>258</v>
      </c>
      <c r="AB3" s="571" t="s">
        <v>258</v>
      </c>
    </row>
    <row r="4" spans="1:28" ht="15" customHeight="1" x14ac:dyDescent="0.3">
      <c r="A4" s="460" t="s">
        <v>23</v>
      </c>
      <c r="B4" s="463"/>
      <c r="C4" s="461"/>
      <c r="D4" s="462"/>
      <c r="E4" s="465"/>
      <c r="F4" s="462"/>
      <c r="G4" s="462"/>
      <c r="H4" s="468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</row>
    <row r="5" spans="1:28" ht="17.25" x14ac:dyDescent="0.35">
      <c r="A5" s="395" t="s">
        <v>24</v>
      </c>
      <c r="B5" s="459" t="s">
        <v>186</v>
      </c>
      <c r="C5" s="455">
        <v>59030033</v>
      </c>
      <c r="D5" s="457">
        <v>5312067</v>
      </c>
      <c r="E5" s="466">
        <v>13442163</v>
      </c>
      <c r="F5" s="457">
        <v>76783748</v>
      </c>
      <c r="G5" s="457">
        <v>16843914</v>
      </c>
      <c r="H5" s="469">
        <v>27910569</v>
      </c>
      <c r="I5" s="457">
        <v>18444691</v>
      </c>
      <c r="J5" s="471">
        <v>6382596</v>
      </c>
      <c r="K5" s="457">
        <v>25318866</v>
      </c>
      <c r="L5" s="457">
        <v>9922933</v>
      </c>
      <c r="M5" s="457">
        <v>235644133</v>
      </c>
      <c r="N5" s="457">
        <v>270687692</v>
      </c>
      <c r="O5" s="475">
        <v>17832407</v>
      </c>
      <c r="P5" s="457">
        <v>23090095</v>
      </c>
      <c r="Q5" s="457">
        <v>65986722</v>
      </c>
      <c r="R5" s="457">
        <v>125008920</v>
      </c>
      <c r="S5" s="457">
        <v>39535108</v>
      </c>
      <c r="T5" s="457">
        <v>40693707</v>
      </c>
      <c r="U5" s="478"/>
      <c r="V5" s="479">
        <v>253541895</v>
      </c>
      <c r="W5" s="482">
        <v>14970366</v>
      </c>
      <c r="X5" s="476">
        <v>17830066</v>
      </c>
      <c r="Y5" s="457">
        <v>41629501</v>
      </c>
      <c r="Z5" s="458">
        <f>SUM(C5:Y5)</f>
        <v>1405842192</v>
      </c>
      <c r="AA5" s="476">
        <v>3182232056</v>
      </c>
      <c r="AB5" s="458">
        <f>SUM(Z5:AA5)</f>
        <v>4588074248</v>
      </c>
    </row>
    <row r="6" spans="1:28" ht="17.25" x14ac:dyDescent="0.35">
      <c r="A6" s="395" t="s">
        <v>187</v>
      </c>
      <c r="B6" s="464"/>
      <c r="C6" s="455">
        <v>-1815501</v>
      </c>
      <c r="D6" s="457">
        <v>-409777</v>
      </c>
      <c r="E6" s="466">
        <v>-529033</v>
      </c>
      <c r="F6" s="457">
        <v>-610681</v>
      </c>
      <c r="G6" s="457">
        <v>-246933</v>
      </c>
      <c r="H6" s="469">
        <v>-287495</v>
      </c>
      <c r="I6" s="457">
        <v>-888871</v>
      </c>
      <c r="J6" s="472">
        <v>-193678</v>
      </c>
      <c r="K6" s="457">
        <v>-742313</v>
      </c>
      <c r="L6" s="457">
        <v>-347760</v>
      </c>
      <c r="M6" s="457">
        <v>-1934468</v>
      </c>
      <c r="N6" s="457">
        <v>-2580917</v>
      </c>
      <c r="O6" s="475">
        <v>-110662</v>
      </c>
      <c r="P6" s="457">
        <v>-512882</v>
      </c>
      <c r="Q6" s="457">
        <v>-872057</v>
      </c>
      <c r="R6" s="457">
        <v>-1213441</v>
      </c>
      <c r="S6" s="457">
        <v>-929955</v>
      </c>
      <c r="T6" s="457">
        <v>-276836</v>
      </c>
      <c r="U6" s="478"/>
      <c r="V6" s="479">
        <v>-1941225</v>
      </c>
      <c r="W6" s="482">
        <v>-31818</v>
      </c>
      <c r="X6" s="476">
        <v>-350199</v>
      </c>
      <c r="Y6" s="457">
        <v>-691804</v>
      </c>
      <c r="Z6" s="458">
        <f t="shared" ref="Z6:Z59" si="0">SUM(C6:Y6)</f>
        <v>-17518306</v>
      </c>
      <c r="AA6" s="476">
        <v>-3722169</v>
      </c>
      <c r="AB6" s="458">
        <f t="shared" ref="AB6:AB59" si="1">SUM(Z6:AA6)</f>
        <v>-21240475</v>
      </c>
    </row>
    <row r="7" spans="1:28" ht="17.25" x14ac:dyDescent="0.35">
      <c r="A7" s="395" t="s">
        <v>188</v>
      </c>
      <c r="B7" s="464"/>
      <c r="C7" s="455"/>
      <c r="D7" s="457"/>
      <c r="E7" s="466"/>
      <c r="F7" s="457"/>
      <c r="G7" s="457"/>
      <c r="H7" s="469"/>
      <c r="I7" s="457"/>
      <c r="J7" s="472"/>
      <c r="K7" s="457"/>
      <c r="L7" s="457"/>
      <c r="M7" s="457"/>
      <c r="N7" s="457"/>
      <c r="O7" s="475"/>
      <c r="P7" s="457"/>
      <c r="Q7" s="457"/>
      <c r="R7" s="457"/>
      <c r="S7" s="457"/>
      <c r="T7" s="457"/>
      <c r="U7" s="478"/>
      <c r="V7" s="452"/>
      <c r="W7" s="482"/>
      <c r="X7" s="476"/>
      <c r="Y7" s="457"/>
      <c r="Z7" s="458">
        <f t="shared" si="0"/>
        <v>0</v>
      </c>
      <c r="AA7" s="476"/>
      <c r="AB7" s="458">
        <f t="shared" si="1"/>
        <v>0</v>
      </c>
    </row>
    <row r="8" spans="1:28" ht="17.25" x14ac:dyDescent="0.35">
      <c r="A8" s="459" t="s">
        <v>189</v>
      </c>
      <c r="B8" s="464"/>
      <c r="C8" s="455">
        <f>C5+C6</f>
        <v>57214532</v>
      </c>
      <c r="D8" s="457">
        <v>4902290</v>
      </c>
      <c r="E8" s="466">
        <v>12913130</v>
      </c>
      <c r="F8" s="457">
        <v>76173086</v>
      </c>
      <c r="G8" s="457">
        <f t="shared" ref="G8:T8" si="2">G5+G6</f>
        <v>16596981</v>
      </c>
      <c r="H8" s="469">
        <f t="shared" si="2"/>
        <v>27623074</v>
      </c>
      <c r="I8" s="457">
        <f t="shared" si="2"/>
        <v>17555820</v>
      </c>
      <c r="J8" s="472">
        <f t="shared" si="2"/>
        <v>6188918</v>
      </c>
      <c r="K8" s="457">
        <f t="shared" si="2"/>
        <v>24576553</v>
      </c>
      <c r="L8" s="457">
        <f t="shared" si="2"/>
        <v>9575173</v>
      </c>
      <c r="M8" s="457">
        <f t="shared" si="2"/>
        <v>233709665</v>
      </c>
      <c r="N8" s="457">
        <f t="shared" si="2"/>
        <v>268106775</v>
      </c>
      <c r="O8" s="475">
        <f t="shared" si="2"/>
        <v>17721745</v>
      </c>
      <c r="P8" s="457">
        <f t="shared" si="2"/>
        <v>22577213</v>
      </c>
      <c r="Q8" s="457">
        <f t="shared" si="2"/>
        <v>65114665</v>
      </c>
      <c r="R8" s="457">
        <f t="shared" si="2"/>
        <v>123795479</v>
      </c>
      <c r="S8" s="457">
        <f t="shared" si="2"/>
        <v>38605153</v>
      </c>
      <c r="T8" s="457">
        <f t="shared" si="2"/>
        <v>40416871</v>
      </c>
      <c r="U8" s="478"/>
      <c r="V8" s="480">
        <f>V5+V6</f>
        <v>251600670</v>
      </c>
      <c r="W8" s="482">
        <f>W5+W6</f>
        <v>14938548</v>
      </c>
      <c r="X8" s="476">
        <f>X5+X6</f>
        <v>17479867</v>
      </c>
      <c r="Y8" s="457">
        <f>Y5+Y6</f>
        <v>40937697</v>
      </c>
      <c r="Z8" s="458">
        <f t="shared" si="0"/>
        <v>1388323905</v>
      </c>
      <c r="AA8" s="476"/>
      <c r="AB8" s="458">
        <f t="shared" si="1"/>
        <v>1388323905</v>
      </c>
    </row>
    <row r="9" spans="1:28" ht="17.25" x14ac:dyDescent="0.35">
      <c r="A9" s="459" t="s">
        <v>190</v>
      </c>
      <c r="B9" s="464"/>
      <c r="C9" s="456"/>
      <c r="D9" s="458"/>
      <c r="E9" s="467"/>
      <c r="F9" s="458"/>
      <c r="G9" s="458"/>
      <c r="H9" s="470"/>
      <c r="I9" s="458"/>
      <c r="J9" s="473"/>
      <c r="K9" s="458"/>
      <c r="L9" s="458"/>
      <c r="M9" s="458"/>
      <c r="N9" s="458"/>
      <c r="O9" s="475"/>
      <c r="P9" s="458"/>
      <c r="Q9" s="477"/>
      <c r="R9" s="458"/>
      <c r="S9" s="458"/>
      <c r="T9" s="458"/>
      <c r="U9" s="478"/>
      <c r="V9" s="452"/>
      <c r="W9" s="482"/>
      <c r="X9" s="476"/>
      <c r="Y9" s="458"/>
      <c r="Z9" s="458">
        <f t="shared" si="0"/>
        <v>0</v>
      </c>
      <c r="AA9" s="458"/>
      <c r="AB9" s="458">
        <f t="shared" si="1"/>
        <v>0</v>
      </c>
    </row>
    <row r="10" spans="1:28" ht="17.25" x14ac:dyDescent="0.35">
      <c r="A10" s="395" t="s">
        <v>191</v>
      </c>
      <c r="B10" s="464"/>
      <c r="C10" s="455">
        <v>19066382</v>
      </c>
      <c r="D10" s="457">
        <v>975971</v>
      </c>
      <c r="E10" s="466">
        <v>5040782</v>
      </c>
      <c r="F10" s="457">
        <v>20880841</v>
      </c>
      <c r="G10" s="457">
        <v>2361462</v>
      </c>
      <c r="H10" s="469">
        <v>5157633</v>
      </c>
      <c r="I10" s="457">
        <v>1679688</v>
      </c>
      <c r="J10" s="472">
        <v>684596</v>
      </c>
      <c r="K10" s="457">
        <v>6956547</v>
      </c>
      <c r="L10" s="457">
        <v>1994077</v>
      </c>
      <c r="M10" s="457">
        <v>47353912</v>
      </c>
      <c r="N10" s="457">
        <v>48131747</v>
      </c>
      <c r="O10" s="457">
        <v>3962157</v>
      </c>
      <c r="P10" s="457">
        <v>6664940</v>
      </c>
      <c r="Q10" s="457">
        <v>10887639</v>
      </c>
      <c r="R10" s="457">
        <v>26615592</v>
      </c>
      <c r="S10" s="457">
        <v>9580866</v>
      </c>
      <c r="T10" s="457">
        <v>8429456</v>
      </c>
      <c r="U10" s="478"/>
      <c r="V10" s="479">
        <v>61156979</v>
      </c>
      <c r="W10" s="482">
        <v>1797025</v>
      </c>
      <c r="X10" s="476">
        <v>3859775</v>
      </c>
      <c r="Y10" s="458">
        <v>10395643</v>
      </c>
      <c r="Z10" s="458">
        <f t="shared" si="0"/>
        <v>303633710</v>
      </c>
      <c r="AA10" s="476">
        <v>1820959930</v>
      </c>
      <c r="AB10" s="458">
        <f t="shared" si="1"/>
        <v>2124593640</v>
      </c>
    </row>
    <row r="11" spans="1:28" ht="17.25" x14ac:dyDescent="0.35">
      <c r="A11" s="395" t="s">
        <v>192</v>
      </c>
      <c r="B11" s="464"/>
      <c r="C11" s="455">
        <v>20495554</v>
      </c>
      <c r="D11" s="457">
        <v>1368122</v>
      </c>
      <c r="E11" s="466">
        <v>4247094</v>
      </c>
      <c r="F11" s="457">
        <v>29617610</v>
      </c>
      <c r="G11" s="457">
        <v>2809144</v>
      </c>
      <c r="H11" s="469">
        <v>6646285</v>
      </c>
      <c r="I11" s="457">
        <v>242189</v>
      </c>
      <c r="J11" s="472">
        <v>591839</v>
      </c>
      <c r="K11" s="457">
        <v>3543203</v>
      </c>
      <c r="L11" s="457">
        <v>776922</v>
      </c>
      <c r="M11" s="457">
        <v>40453144</v>
      </c>
      <c r="N11" s="457">
        <v>80032819</v>
      </c>
      <c r="O11" s="457">
        <v>2439235</v>
      </c>
      <c r="P11" s="457">
        <v>3145818</v>
      </c>
      <c r="Q11" s="457">
        <v>10760301</v>
      </c>
      <c r="R11" s="457">
        <v>16678746</v>
      </c>
      <c r="S11" s="457">
        <v>7582879</v>
      </c>
      <c r="T11" s="457">
        <v>11129278</v>
      </c>
      <c r="U11" s="478"/>
      <c r="V11" s="479">
        <v>36023270</v>
      </c>
      <c r="W11" s="482">
        <v>897799</v>
      </c>
      <c r="X11" s="476">
        <v>3405215</v>
      </c>
      <c r="Y11" s="457">
        <v>11602853</v>
      </c>
      <c r="Z11" s="458">
        <f t="shared" si="0"/>
        <v>294489319</v>
      </c>
      <c r="AA11" s="476">
        <v>285279992</v>
      </c>
      <c r="AB11" s="458">
        <f t="shared" si="1"/>
        <v>579769311</v>
      </c>
    </row>
    <row r="12" spans="1:28" ht="17.25" x14ac:dyDescent="0.35">
      <c r="A12" s="395" t="s">
        <v>193</v>
      </c>
      <c r="B12" s="464"/>
      <c r="C12" s="455">
        <v>-2892210</v>
      </c>
      <c r="D12" s="457">
        <v>-260943</v>
      </c>
      <c r="E12" s="466">
        <v>-902545</v>
      </c>
      <c r="F12" s="457">
        <v>-4641689</v>
      </c>
      <c r="G12" s="457">
        <v>-214227</v>
      </c>
      <c r="H12" s="469">
        <v>-1377921</v>
      </c>
      <c r="I12" s="457">
        <v>-8957</v>
      </c>
      <c r="J12" s="472">
        <v>-366902</v>
      </c>
      <c r="K12" s="457">
        <v>-733113</v>
      </c>
      <c r="L12" s="457">
        <v>-121970</v>
      </c>
      <c r="M12" s="457">
        <v>-3857796</v>
      </c>
      <c r="N12" s="457">
        <v>-11286941</v>
      </c>
      <c r="O12" s="457">
        <v>-887240</v>
      </c>
      <c r="P12" s="457">
        <v>-385122</v>
      </c>
      <c r="Q12" s="457">
        <v>-3006174</v>
      </c>
      <c r="R12" s="457">
        <v>-3641183</v>
      </c>
      <c r="S12" s="457">
        <v>-815765</v>
      </c>
      <c r="T12" s="457">
        <v>-2228305</v>
      </c>
      <c r="U12" s="478"/>
      <c r="V12" s="479">
        <v>-7166461</v>
      </c>
      <c r="W12" s="482">
        <v>-44050</v>
      </c>
      <c r="X12" s="476">
        <v>-475113</v>
      </c>
      <c r="Y12" s="457">
        <v>-1476064</v>
      </c>
      <c r="Z12" s="458">
        <f t="shared" si="0"/>
        <v>-46790691</v>
      </c>
      <c r="AA12" s="476">
        <v>-18960157</v>
      </c>
      <c r="AB12" s="458">
        <f t="shared" si="1"/>
        <v>-65750848</v>
      </c>
    </row>
    <row r="13" spans="1:28" ht="17.25" x14ac:dyDescent="0.35">
      <c r="A13" s="395" t="s">
        <v>194</v>
      </c>
      <c r="B13" s="464"/>
      <c r="C13" s="455">
        <v>-6566183</v>
      </c>
      <c r="D13" s="457">
        <v>-403358</v>
      </c>
      <c r="E13" s="466">
        <v>-1281895</v>
      </c>
      <c r="F13" s="457">
        <v>-6738418</v>
      </c>
      <c r="G13" s="457">
        <v>472974</v>
      </c>
      <c r="H13" s="469">
        <v>-488915</v>
      </c>
      <c r="I13" s="457">
        <v>-40478</v>
      </c>
      <c r="J13" s="472">
        <v>-75707</v>
      </c>
      <c r="K13" s="457">
        <v>-675636</v>
      </c>
      <c r="L13" s="457">
        <v>-315833</v>
      </c>
      <c r="M13" s="457">
        <v>2557994</v>
      </c>
      <c r="N13" s="457">
        <v>8977569</v>
      </c>
      <c r="O13" s="457">
        <v>-626442</v>
      </c>
      <c r="P13" s="457">
        <v>-821173</v>
      </c>
      <c r="Q13" s="457">
        <v>-1051100</v>
      </c>
      <c r="R13" s="457">
        <v>-2124138</v>
      </c>
      <c r="S13" s="457">
        <v>-2871673</v>
      </c>
      <c r="T13" s="457">
        <v>-2886056</v>
      </c>
      <c r="U13" s="478"/>
      <c r="V13" s="479">
        <v>-6846796</v>
      </c>
      <c r="W13" s="482">
        <v>-608708</v>
      </c>
      <c r="X13" s="476"/>
      <c r="Y13" s="457">
        <v>-692525</v>
      </c>
      <c r="Z13" s="458">
        <f t="shared" si="0"/>
        <v>-23106497</v>
      </c>
      <c r="AA13" s="476">
        <v>-37689797</v>
      </c>
      <c r="AB13" s="458">
        <f t="shared" si="1"/>
        <v>-60796294</v>
      </c>
    </row>
    <row r="14" spans="1:28" ht="17.25" x14ac:dyDescent="0.35">
      <c r="A14" s="395" t="s">
        <v>195</v>
      </c>
      <c r="B14" s="464"/>
      <c r="C14" s="456"/>
      <c r="D14" s="458">
        <v>91609</v>
      </c>
      <c r="E14" s="467"/>
      <c r="F14" s="458">
        <v>1644732</v>
      </c>
      <c r="G14" s="458"/>
      <c r="H14" s="470"/>
      <c r="I14" s="458">
        <v>-66809</v>
      </c>
      <c r="J14" s="473"/>
      <c r="K14" s="458"/>
      <c r="L14" s="458"/>
      <c r="M14" s="458">
        <v>-560935</v>
      </c>
      <c r="N14" s="458"/>
      <c r="O14" s="475">
        <v>72974</v>
      </c>
      <c r="P14" s="458">
        <v>365259</v>
      </c>
      <c r="Q14" s="477"/>
      <c r="R14" s="458">
        <v>45283</v>
      </c>
      <c r="S14" s="458"/>
      <c r="T14" s="458">
        <v>1420183</v>
      </c>
      <c r="U14" s="478"/>
      <c r="V14" s="479">
        <v>1395512</v>
      </c>
      <c r="W14" s="482">
        <v>-19491</v>
      </c>
      <c r="X14" s="476"/>
      <c r="Y14" s="458"/>
      <c r="Z14" s="458">
        <f t="shared" si="0"/>
        <v>4388317</v>
      </c>
      <c r="AA14" s="458"/>
      <c r="AB14" s="458">
        <f t="shared" si="1"/>
        <v>4388317</v>
      </c>
    </row>
    <row r="15" spans="1:28" ht="17.25" x14ac:dyDescent="0.35">
      <c r="A15" s="395" t="s">
        <v>254</v>
      </c>
      <c r="B15" s="464"/>
      <c r="C15" s="456"/>
      <c r="D15" s="458"/>
      <c r="E15" s="467"/>
      <c r="F15" s="458"/>
      <c r="G15" s="458"/>
      <c r="H15" s="470"/>
      <c r="I15" s="458"/>
      <c r="J15" s="473"/>
      <c r="K15" s="458"/>
      <c r="L15" s="458"/>
      <c r="M15" s="458"/>
      <c r="N15" s="458"/>
      <c r="O15" s="475"/>
      <c r="P15" s="458"/>
      <c r="Q15" s="477"/>
      <c r="R15" s="458"/>
      <c r="S15" s="458"/>
      <c r="T15" s="458"/>
      <c r="U15" s="478"/>
      <c r="V15" s="479"/>
      <c r="W15" s="482"/>
      <c r="X15" s="476">
        <v>-1386770</v>
      </c>
      <c r="Y15" s="458"/>
      <c r="Z15" s="458"/>
      <c r="AA15" s="458"/>
      <c r="AB15" s="458"/>
    </row>
    <row r="16" spans="1:28" ht="17.25" x14ac:dyDescent="0.35">
      <c r="A16" s="459" t="s">
        <v>196</v>
      </c>
      <c r="B16" s="464"/>
      <c r="C16" s="455"/>
      <c r="D16" s="457"/>
      <c r="E16" s="466"/>
      <c r="F16" s="457"/>
      <c r="G16" s="457"/>
      <c r="H16" s="469"/>
      <c r="I16" s="457"/>
      <c r="J16" s="472"/>
      <c r="K16" s="457"/>
      <c r="L16" s="457"/>
      <c r="M16" s="457"/>
      <c r="N16" s="457"/>
      <c r="O16" s="475"/>
      <c r="P16" s="457"/>
      <c r="Q16" s="457"/>
      <c r="R16" s="457"/>
      <c r="S16" s="457"/>
      <c r="T16" s="457"/>
      <c r="U16" s="478"/>
      <c r="V16" s="452"/>
      <c r="W16" s="482"/>
      <c r="X16" s="476"/>
      <c r="Y16" s="457"/>
      <c r="Z16" s="458">
        <f t="shared" si="0"/>
        <v>0</v>
      </c>
      <c r="AA16" s="457"/>
      <c r="AB16" s="458">
        <f t="shared" si="1"/>
        <v>0</v>
      </c>
    </row>
    <row r="17" spans="1:28" ht="17.25" x14ac:dyDescent="0.35">
      <c r="A17" s="395" t="s">
        <v>197</v>
      </c>
      <c r="B17" s="464"/>
      <c r="C17" s="455">
        <v>1066492</v>
      </c>
      <c r="D17" s="457">
        <v>600000</v>
      </c>
      <c r="E17" s="466">
        <v>211911</v>
      </c>
      <c r="F17" s="457">
        <v>1674488</v>
      </c>
      <c r="G17" s="457">
        <v>19933</v>
      </c>
      <c r="H17" s="469">
        <v>42191</v>
      </c>
      <c r="I17" s="457">
        <v>216379</v>
      </c>
      <c r="J17" s="472">
        <v>1513970</v>
      </c>
      <c r="K17" s="457">
        <v>308042</v>
      </c>
      <c r="L17" s="457">
        <v>1624888</v>
      </c>
      <c r="M17" s="457">
        <v>1566482</v>
      </c>
      <c r="N17" s="457">
        <v>752784</v>
      </c>
      <c r="O17" s="475"/>
      <c r="P17" s="457">
        <v>457471</v>
      </c>
      <c r="Q17" s="457">
        <v>43079</v>
      </c>
      <c r="R17" s="457">
        <v>91467</v>
      </c>
      <c r="S17" s="457">
        <v>484308</v>
      </c>
      <c r="T17" s="457">
        <v>1634425</v>
      </c>
      <c r="U17" s="478"/>
      <c r="V17" s="452">
        <v>756382</v>
      </c>
      <c r="W17" s="482">
        <v>20937</v>
      </c>
      <c r="X17" s="476"/>
      <c r="Y17" s="457">
        <v>1432482</v>
      </c>
      <c r="Z17" s="458">
        <f t="shared" si="0"/>
        <v>14518111</v>
      </c>
      <c r="AA17" s="457"/>
      <c r="AB17" s="458">
        <f t="shared" si="1"/>
        <v>14518111</v>
      </c>
    </row>
    <row r="18" spans="1:28" ht="17.25" x14ac:dyDescent="0.35">
      <c r="A18" s="395" t="s">
        <v>198</v>
      </c>
      <c r="B18" s="464"/>
      <c r="C18" s="455"/>
      <c r="D18" s="457"/>
      <c r="E18" s="466"/>
      <c r="F18" s="457"/>
      <c r="G18" s="457"/>
      <c r="H18" s="469"/>
      <c r="I18" s="457"/>
      <c r="J18" s="472"/>
      <c r="K18" s="457"/>
      <c r="L18" s="457"/>
      <c r="M18" s="457">
        <v>407930</v>
      </c>
      <c r="N18" s="457">
        <v>500740</v>
      </c>
      <c r="O18" s="475"/>
      <c r="P18" s="457"/>
      <c r="Q18" s="457">
        <v>21491</v>
      </c>
      <c r="R18" s="457"/>
      <c r="S18" s="457"/>
      <c r="T18" s="457"/>
      <c r="U18" s="478"/>
      <c r="V18" s="479">
        <v>393088</v>
      </c>
      <c r="W18" s="482"/>
      <c r="X18" s="476"/>
      <c r="Y18" s="457"/>
      <c r="Z18" s="458">
        <f t="shared" si="0"/>
        <v>1323249</v>
      </c>
      <c r="AA18" s="457"/>
      <c r="AB18" s="458">
        <f t="shared" si="1"/>
        <v>1323249</v>
      </c>
    </row>
    <row r="19" spans="1:28" ht="17.25" x14ac:dyDescent="0.35">
      <c r="A19" s="395" t="s">
        <v>199</v>
      </c>
      <c r="B19" s="464"/>
      <c r="C19" s="455">
        <v>349536</v>
      </c>
      <c r="D19" s="457">
        <v>376</v>
      </c>
      <c r="E19" s="466">
        <f>41201+21958</f>
        <v>63159</v>
      </c>
      <c r="F19" s="457">
        <v>426368</v>
      </c>
      <c r="G19" s="457">
        <v>4950</v>
      </c>
      <c r="H19" s="469">
        <v>83284</v>
      </c>
      <c r="I19" s="457">
        <v>3108</v>
      </c>
      <c r="J19" s="472">
        <v>4224</v>
      </c>
      <c r="K19" s="457">
        <v>181998</v>
      </c>
      <c r="L19" s="457">
        <f>-3137+24300</f>
        <v>21163</v>
      </c>
      <c r="M19" s="457">
        <v>710257</v>
      </c>
      <c r="N19" s="457">
        <f>182512+16802</f>
        <v>199314</v>
      </c>
      <c r="O19" s="475">
        <v>2574</v>
      </c>
      <c r="P19" s="457">
        <v>11567</v>
      </c>
      <c r="Q19" s="457">
        <f>33758+4565</f>
        <v>38323</v>
      </c>
      <c r="R19" s="457">
        <v>254043</v>
      </c>
      <c r="S19" s="457">
        <f>34359+185287+143</f>
        <v>219789</v>
      </c>
      <c r="T19" s="457">
        <v>203842</v>
      </c>
      <c r="U19" s="478"/>
      <c r="V19" s="479">
        <v>292670</v>
      </c>
      <c r="W19" s="482">
        <v>86894</v>
      </c>
      <c r="X19" s="476">
        <v>36627</v>
      </c>
      <c r="Y19" s="457">
        <f>16609+290085+280358-1728+393</f>
        <v>585717</v>
      </c>
      <c r="Z19" s="458">
        <f t="shared" si="0"/>
        <v>3779783</v>
      </c>
      <c r="AA19" s="457">
        <f>490804+7520473</f>
        <v>8011277</v>
      </c>
      <c r="AB19" s="458">
        <f t="shared" si="1"/>
        <v>11791060</v>
      </c>
    </row>
    <row r="20" spans="1:28" ht="17.25" x14ac:dyDescent="0.35">
      <c r="A20" s="459" t="s">
        <v>189</v>
      </c>
      <c r="B20" s="464"/>
      <c r="C20" s="456"/>
      <c r="D20" s="458"/>
      <c r="E20" s="467"/>
      <c r="F20" s="458"/>
      <c r="G20" s="458"/>
      <c r="H20" s="470"/>
      <c r="I20" s="458"/>
      <c r="J20" s="473"/>
      <c r="K20" s="458"/>
      <c r="L20" s="458"/>
      <c r="M20" s="458"/>
      <c r="N20" s="458"/>
      <c r="O20" s="475"/>
      <c r="P20" s="458"/>
      <c r="Q20" s="477"/>
      <c r="R20" s="458"/>
      <c r="S20" s="458"/>
      <c r="T20" s="458"/>
      <c r="U20" s="478"/>
      <c r="V20" s="480"/>
      <c r="W20" s="482"/>
      <c r="X20" s="476"/>
      <c r="Y20" s="458"/>
      <c r="Z20" s="458">
        <f t="shared" si="0"/>
        <v>0</v>
      </c>
      <c r="AA20" s="458"/>
      <c r="AB20" s="458">
        <f t="shared" si="1"/>
        <v>0</v>
      </c>
    </row>
    <row r="21" spans="1:28" s="899" customFormat="1" ht="18" x14ac:dyDescent="0.35">
      <c r="A21" s="887" t="s">
        <v>22</v>
      </c>
      <c r="B21" s="888"/>
      <c r="C21" s="889">
        <v>88734112</v>
      </c>
      <c r="D21" s="890">
        <v>7274067</v>
      </c>
      <c r="E21" s="891">
        <v>20291636</v>
      </c>
      <c r="F21" s="890">
        <v>118617885</v>
      </c>
      <c r="G21" s="890">
        <v>21105269</v>
      </c>
      <c r="H21" s="892">
        <v>37686631</v>
      </c>
      <c r="I21" s="890">
        <v>19483820</v>
      </c>
      <c r="J21" s="893">
        <v>8540938</v>
      </c>
      <c r="K21" s="890">
        <v>34157595</v>
      </c>
      <c r="L21" s="890">
        <v>13554420</v>
      </c>
      <c r="M21" s="890">
        <v>22340853</v>
      </c>
      <c r="N21" s="890">
        <v>382174310</v>
      </c>
      <c r="O21" s="894">
        <v>22686003</v>
      </c>
      <c r="P21" s="890">
        <v>32015975</v>
      </c>
      <c r="Q21" s="890">
        <v>82808224</v>
      </c>
      <c r="R21" s="890">
        <v>161715289</v>
      </c>
      <c r="S21" s="890">
        <v>52785557</v>
      </c>
      <c r="T21" s="890">
        <v>59119694</v>
      </c>
      <c r="U21" s="895"/>
      <c r="V21" s="896">
        <v>337806316</v>
      </c>
      <c r="W21" s="897">
        <v>17068943</v>
      </c>
      <c r="X21" s="898">
        <v>22919601</v>
      </c>
      <c r="Y21" s="890">
        <v>62785803</v>
      </c>
      <c r="Z21" s="890">
        <f t="shared" si="0"/>
        <v>1625672941</v>
      </c>
      <c r="AA21" s="898">
        <v>5236111132</v>
      </c>
      <c r="AB21" s="890">
        <f t="shared" si="1"/>
        <v>6861784073</v>
      </c>
    </row>
    <row r="22" spans="1:28" ht="17.25" x14ac:dyDescent="0.35">
      <c r="A22" s="395" t="s">
        <v>62</v>
      </c>
      <c r="B22" s="459" t="s">
        <v>200</v>
      </c>
      <c r="C22" s="455">
        <v>2688174</v>
      </c>
      <c r="D22" s="457">
        <v>56432</v>
      </c>
      <c r="E22" s="466">
        <v>365927</v>
      </c>
      <c r="F22" s="457">
        <v>2031674</v>
      </c>
      <c r="G22" s="457">
        <v>1219387</v>
      </c>
      <c r="H22" s="469">
        <v>1264009</v>
      </c>
      <c r="I22" s="457">
        <v>706697</v>
      </c>
      <c r="J22" s="472">
        <v>400185</v>
      </c>
      <c r="K22" s="457">
        <v>1449874</v>
      </c>
      <c r="L22" s="457">
        <v>330775</v>
      </c>
      <c r="M22" s="457">
        <v>10749306</v>
      </c>
      <c r="N22" s="457">
        <v>14032736</v>
      </c>
      <c r="O22" s="475">
        <v>999279</v>
      </c>
      <c r="P22" s="457">
        <v>938571</v>
      </c>
      <c r="Q22" s="457">
        <v>3793406</v>
      </c>
      <c r="R22" s="457">
        <v>8928753</v>
      </c>
      <c r="S22" s="457">
        <v>2154760</v>
      </c>
      <c r="T22" s="457">
        <v>1580762</v>
      </c>
      <c r="U22" s="478"/>
      <c r="V22" s="479">
        <v>11208707</v>
      </c>
      <c r="W22" s="482">
        <v>929857</v>
      </c>
      <c r="X22" s="476">
        <v>1425907</v>
      </c>
      <c r="Y22" s="457">
        <v>3505595</v>
      </c>
      <c r="Z22" s="458">
        <f t="shared" si="0"/>
        <v>70760773</v>
      </c>
      <c r="AA22" s="476">
        <v>182268187</v>
      </c>
      <c r="AB22" s="458">
        <f t="shared" si="1"/>
        <v>253028960</v>
      </c>
    </row>
    <row r="23" spans="1:28" ht="17.25" x14ac:dyDescent="0.35">
      <c r="A23" s="395" t="s">
        <v>201</v>
      </c>
      <c r="B23" s="459" t="s">
        <v>202</v>
      </c>
      <c r="C23" s="455">
        <v>8173649</v>
      </c>
      <c r="D23" s="457">
        <v>1926082</v>
      </c>
      <c r="E23" s="466">
        <v>2830953</v>
      </c>
      <c r="F23" s="457">
        <v>12076681</v>
      </c>
      <c r="G23" s="457">
        <v>4173050</v>
      </c>
      <c r="H23" s="469">
        <v>3653319</v>
      </c>
      <c r="I23" s="457">
        <v>6248288</v>
      </c>
      <c r="J23" s="472">
        <v>2381766</v>
      </c>
      <c r="K23" s="457">
        <v>6130421</v>
      </c>
      <c r="L23" s="457">
        <v>5418852</v>
      </c>
      <c r="M23" s="457">
        <v>31593039</v>
      </c>
      <c r="N23" s="457">
        <v>20299312</v>
      </c>
      <c r="O23" s="475">
        <v>2599414</v>
      </c>
      <c r="P23" s="457">
        <v>2725050</v>
      </c>
      <c r="Q23" s="457">
        <v>11112579</v>
      </c>
      <c r="R23" s="457">
        <v>16098725</v>
      </c>
      <c r="S23" s="457">
        <v>8148395</v>
      </c>
      <c r="T23" s="457">
        <v>8580014</v>
      </c>
      <c r="U23" s="478"/>
      <c r="V23" s="479">
        <v>17188370</v>
      </c>
      <c r="W23" s="482">
        <v>3814133</v>
      </c>
      <c r="X23" s="476">
        <v>2944467</v>
      </c>
      <c r="Y23" s="457">
        <v>8341553</v>
      </c>
      <c r="Z23" s="458">
        <f t="shared" si="0"/>
        <v>186458112</v>
      </c>
      <c r="AA23" s="476">
        <v>301423954</v>
      </c>
      <c r="AB23" s="458">
        <f t="shared" si="1"/>
        <v>487882066</v>
      </c>
    </row>
    <row r="24" spans="1:28" ht="17.25" x14ac:dyDescent="0.35">
      <c r="A24" s="395" t="s">
        <v>246</v>
      </c>
      <c r="B24" s="459"/>
      <c r="C24" s="455"/>
      <c r="D24" s="457"/>
      <c r="E24" s="466"/>
      <c r="F24" s="457"/>
      <c r="G24" s="457"/>
      <c r="H24" s="469"/>
      <c r="I24" s="457">
        <v>-1744438</v>
      </c>
      <c r="J24" s="472"/>
      <c r="K24" s="457"/>
      <c r="L24" s="457"/>
      <c r="M24" s="457"/>
      <c r="N24" s="457"/>
      <c r="O24" s="475"/>
      <c r="P24" s="457"/>
      <c r="Q24" s="457"/>
      <c r="R24" s="457"/>
      <c r="S24" s="457"/>
      <c r="T24" s="457"/>
      <c r="U24" s="478"/>
      <c r="V24" s="479"/>
      <c r="W24" s="482"/>
      <c r="X24" s="476"/>
      <c r="Y24" s="457"/>
      <c r="Z24" s="458">
        <f t="shared" si="0"/>
        <v>-1744438</v>
      </c>
      <c r="AA24" s="476"/>
      <c r="AB24" s="458">
        <f t="shared" si="1"/>
        <v>-1744438</v>
      </c>
    </row>
    <row r="25" spans="1:28" ht="17.25" x14ac:dyDescent="0.35">
      <c r="A25" s="395" t="s">
        <v>203</v>
      </c>
      <c r="B25" s="464"/>
      <c r="C25" s="455">
        <v>1111891</v>
      </c>
      <c r="D25" s="457">
        <v>4507</v>
      </c>
      <c r="E25" s="466">
        <v>11270</v>
      </c>
      <c r="F25" s="457">
        <v>4044</v>
      </c>
      <c r="G25" s="457">
        <v>9958</v>
      </c>
      <c r="H25" s="469"/>
      <c r="I25" s="457"/>
      <c r="J25" s="472">
        <v>1993</v>
      </c>
      <c r="K25" s="457"/>
      <c r="L25" s="457">
        <v>20380</v>
      </c>
      <c r="M25" s="457">
        <v>49049</v>
      </c>
      <c r="N25" s="457">
        <v>-16958</v>
      </c>
      <c r="O25" s="475">
        <v>1871</v>
      </c>
      <c r="P25" s="457"/>
      <c r="Q25" s="457">
        <v>535770</v>
      </c>
      <c r="R25" s="457">
        <v>12938</v>
      </c>
      <c r="S25" s="457"/>
      <c r="T25" s="457"/>
      <c r="U25" s="478"/>
      <c r="V25" s="479">
        <v>261</v>
      </c>
      <c r="W25" s="482"/>
      <c r="X25" s="476">
        <v>61</v>
      </c>
      <c r="Y25" s="457"/>
      <c r="Z25" s="458">
        <f t="shared" si="0"/>
        <v>1747035</v>
      </c>
      <c r="AA25" s="476">
        <v>27469428</v>
      </c>
      <c r="AB25" s="458">
        <f t="shared" si="1"/>
        <v>29216463</v>
      </c>
    </row>
    <row r="26" spans="1:28" ht="17.25" x14ac:dyDescent="0.35">
      <c r="A26" s="395" t="s">
        <v>204</v>
      </c>
      <c r="B26" s="464"/>
      <c r="C26" s="456">
        <v>7848</v>
      </c>
      <c r="D26" s="458"/>
      <c r="E26" s="467"/>
      <c r="F26" s="458">
        <v>667</v>
      </c>
      <c r="G26" s="458">
        <v>5068</v>
      </c>
      <c r="H26" s="470">
        <v>673</v>
      </c>
      <c r="I26" s="458"/>
      <c r="J26" s="473"/>
      <c r="K26" s="458"/>
      <c r="L26" s="458">
        <v>1073</v>
      </c>
      <c r="M26" s="458"/>
      <c r="N26" s="458">
        <v>47803</v>
      </c>
      <c r="O26" s="475">
        <v>-17</v>
      </c>
      <c r="P26" s="458"/>
      <c r="Q26" s="477"/>
      <c r="R26" s="458">
        <v>6188</v>
      </c>
      <c r="S26" s="458"/>
      <c r="T26" s="458"/>
      <c r="U26" s="478"/>
      <c r="V26" s="481">
        <v>4324</v>
      </c>
      <c r="W26" s="482"/>
      <c r="X26" s="476">
        <v>1946</v>
      </c>
      <c r="Y26" s="458"/>
      <c r="Z26" s="458">
        <f t="shared" si="0"/>
        <v>75573</v>
      </c>
      <c r="AA26" s="458"/>
      <c r="AB26" s="458">
        <f t="shared" si="1"/>
        <v>75573</v>
      </c>
    </row>
    <row r="27" spans="1:28" ht="17.25" x14ac:dyDescent="0.35">
      <c r="A27" s="395" t="s">
        <v>205</v>
      </c>
      <c r="B27" s="464"/>
      <c r="C27" s="455"/>
      <c r="D27" s="457"/>
      <c r="E27" s="466"/>
      <c r="F27" s="457"/>
      <c r="G27" s="457"/>
      <c r="H27" s="469"/>
      <c r="I27" s="457"/>
      <c r="J27" s="472"/>
      <c r="K27" s="457"/>
      <c r="L27" s="457"/>
      <c r="M27" s="457">
        <v>1755474</v>
      </c>
      <c r="N27" s="457"/>
      <c r="O27" s="475"/>
      <c r="P27" s="457"/>
      <c r="Q27" s="457">
        <v>367132</v>
      </c>
      <c r="R27" s="457">
        <v>1077256</v>
      </c>
      <c r="S27" s="457"/>
      <c r="T27" s="457"/>
      <c r="U27" s="478"/>
      <c r="V27" s="452">
        <v>2379950</v>
      </c>
      <c r="W27" s="482">
        <v>248801</v>
      </c>
      <c r="X27" s="476"/>
      <c r="Y27" s="457">
        <v>642081</v>
      </c>
      <c r="Z27" s="458">
        <f t="shared" si="0"/>
        <v>6470694</v>
      </c>
      <c r="AA27" s="476">
        <v>74227277</v>
      </c>
      <c r="AB27" s="458">
        <f t="shared" si="1"/>
        <v>80697971</v>
      </c>
    </row>
    <row r="28" spans="1:28" ht="17.25" x14ac:dyDescent="0.35">
      <c r="A28" s="395" t="s">
        <v>206</v>
      </c>
      <c r="B28" s="464"/>
      <c r="C28" s="455"/>
      <c r="D28" s="457"/>
      <c r="E28" s="466"/>
      <c r="F28" s="457"/>
      <c r="G28" s="457"/>
      <c r="H28" s="469"/>
      <c r="I28" s="457"/>
      <c r="J28" s="472"/>
      <c r="K28" s="457"/>
      <c r="L28" s="457"/>
      <c r="M28" s="457"/>
      <c r="N28" s="457"/>
      <c r="O28" s="475"/>
      <c r="P28" s="457"/>
      <c r="Q28" s="457"/>
      <c r="R28" s="457"/>
      <c r="S28" s="457"/>
      <c r="T28" s="457"/>
      <c r="U28" s="478"/>
      <c r="V28" s="479"/>
      <c r="W28" s="482"/>
      <c r="X28" s="476"/>
      <c r="Y28" s="457"/>
      <c r="Z28" s="458">
        <f t="shared" si="0"/>
        <v>0</v>
      </c>
      <c r="AA28" s="476"/>
      <c r="AB28" s="458">
        <f t="shared" si="1"/>
        <v>0</v>
      </c>
    </row>
    <row r="29" spans="1:28" ht="17.25" x14ac:dyDescent="0.35">
      <c r="A29" s="395" t="s">
        <v>207</v>
      </c>
      <c r="B29" s="464"/>
      <c r="C29" s="455"/>
      <c r="D29" s="457"/>
      <c r="E29" s="466"/>
      <c r="F29" s="457">
        <v>30866</v>
      </c>
      <c r="G29" s="457"/>
      <c r="H29" s="469"/>
      <c r="I29" s="457"/>
      <c r="J29" s="472"/>
      <c r="K29" s="457"/>
      <c r="L29" s="457"/>
      <c r="M29" s="457"/>
      <c r="N29" s="457"/>
      <c r="O29" s="475"/>
      <c r="P29" s="457"/>
      <c r="Q29" s="457"/>
      <c r="R29" s="457"/>
      <c r="S29" s="457"/>
      <c r="T29" s="457"/>
      <c r="U29" s="478"/>
      <c r="V29" s="452"/>
      <c r="W29" s="482"/>
      <c r="X29" s="476"/>
      <c r="Y29" s="457"/>
      <c r="Z29" s="458">
        <f t="shared" si="0"/>
        <v>30866</v>
      </c>
      <c r="AA29" s="476"/>
      <c r="AB29" s="458">
        <f t="shared" si="1"/>
        <v>30866</v>
      </c>
    </row>
    <row r="30" spans="1:28" ht="17.25" x14ac:dyDescent="0.35">
      <c r="A30" s="395" t="s">
        <v>208</v>
      </c>
      <c r="B30" s="464"/>
      <c r="C30" s="455"/>
      <c r="D30" s="457"/>
      <c r="E30" s="466"/>
      <c r="F30" s="457"/>
      <c r="G30" s="457"/>
      <c r="H30" s="469"/>
      <c r="I30" s="457"/>
      <c r="J30" s="472"/>
      <c r="K30" s="457"/>
      <c r="L30" s="457"/>
      <c r="M30" s="457">
        <v>-58367</v>
      </c>
      <c r="N30" s="457">
        <v>50872</v>
      </c>
      <c r="O30" s="475"/>
      <c r="P30" s="457"/>
      <c r="Q30" s="457">
        <v>36320</v>
      </c>
      <c r="R30" s="457"/>
      <c r="S30" s="457">
        <v>-4690</v>
      </c>
      <c r="T30" s="457"/>
      <c r="U30" s="478"/>
      <c r="V30" s="479">
        <v>51411</v>
      </c>
      <c r="W30" s="482"/>
      <c r="X30" s="476"/>
      <c r="Y30" s="457">
        <v>-20447</v>
      </c>
      <c r="Z30" s="458">
        <f t="shared" si="0"/>
        <v>55099</v>
      </c>
      <c r="AA30" s="476">
        <v>160571</v>
      </c>
      <c r="AB30" s="458">
        <f t="shared" si="1"/>
        <v>215670</v>
      </c>
    </row>
    <row r="31" spans="1:28" ht="17.25" x14ac:dyDescent="0.35">
      <c r="A31" s="395" t="s">
        <v>209</v>
      </c>
      <c r="B31" s="464"/>
      <c r="C31" s="456"/>
      <c r="D31" s="458"/>
      <c r="E31" s="467"/>
      <c r="F31" s="458"/>
      <c r="G31" s="458"/>
      <c r="H31" s="470"/>
      <c r="I31" s="458"/>
      <c r="J31" s="473"/>
      <c r="K31" s="458"/>
      <c r="L31" s="458"/>
      <c r="M31" s="458"/>
      <c r="N31" s="458"/>
      <c r="O31" s="475"/>
      <c r="P31" s="458"/>
      <c r="Q31" s="477">
        <v>-1084</v>
      </c>
      <c r="R31" s="458"/>
      <c r="S31" s="458"/>
      <c r="T31" s="458"/>
      <c r="U31" s="478"/>
      <c r="V31" s="481">
        <v>-800</v>
      </c>
      <c r="W31" s="482"/>
      <c r="X31" s="476"/>
      <c r="Y31" s="458"/>
      <c r="Z31" s="458">
        <f t="shared" si="0"/>
        <v>-1884</v>
      </c>
      <c r="AA31" s="458">
        <v>36415217</v>
      </c>
      <c r="AB31" s="458">
        <f t="shared" si="1"/>
        <v>36413333</v>
      </c>
    </row>
    <row r="32" spans="1:28" ht="17.25" x14ac:dyDescent="0.35">
      <c r="A32" s="395" t="s">
        <v>210</v>
      </c>
      <c r="B32" s="464"/>
      <c r="C32" s="455"/>
      <c r="D32" s="457">
        <v>41162</v>
      </c>
      <c r="E32" s="466">
        <v>181294</v>
      </c>
      <c r="F32" s="457">
        <v>1139837</v>
      </c>
      <c r="G32" s="457">
        <v>48748</v>
      </c>
      <c r="H32" s="469">
        <v>485236</v>
      </c>
      <c r="I32" s="457">
        <v>17407</v>
      </c>
      <c r="J32" s="472">
        <v>30175</v>
      </c>
      <c r="K32" s="457"/>
      <c r="L32" s="457">
        <v>45473</v>
      </c>
      <c r="M32" s="457">
        <v>2969249</v>
      </c>
      <c r="N32" s="457">
        <v>5645120</v>
      </c>
      <c r="O32" s="476">
        <v>115685</v>
      </c>
      <c r="P32" s="457">
        <v>210660</v>
      </c>
      <c r="Q32" s="457"/>
      <c r="R32" s="457"/>
      <c r="S32" s="457">
        <v>385921</v>
      </c>
      <c r="T32" s="457">
        <v>359992</v>
      </c>
      <c r="U32" s="478"/>
      <c r="V32" s="479">
        <v>3471658</v>
      </c>
      <c r="W32" s="482">
        <v>35477</v>
      </c>
      <c r="X32" s="476">
        <v>90593</v>
      </c>
      <c r="Y32" s="457">
        <v>415377</v>
      </c>
      <c r="Z32" s="458">
        <f t="shared" si="0"/>
        <v>15689064</v>
      </c>
      <c r="AA32" s="457">
        <f>-57717+1937118</f>
        <v>1879401</v>
      </c>
      <c r="AB32" s="458">
        <f t="shared" si="1"/>
        <v>17568465</v>
      </c>
    </row>
    <row r="33" spans="1:28" s="899" customFormat="1" ht="18" x14ac:dyDescent="0.35">
      <c r="A33" s="887" t="s">
        <v>211</v>
      </c>
      <c r="B33" s="888"/>
      <c r="C33" s="889">
        <v>11982840</v>
      </c>
      <c r="D33" s="890">
        <v>2028183</v>
      </c>
      <c r="E33" s="891">
        <v>3389444</v>
      </c>
      <c r="F33" s="890">
        <v>16282768</v>
      </c>
      <c r="G33" s="890">
        <v>5456211</v>
      </c>
      <c r="H33" s="892">
        <v>6403238</v>
      </c>
      <c r="I33" s="890">
        <v>6226834</v>
      </c>
      <c r="J33" s="893">
        <v>2814119</v>
      </c>
      <c r="K33" s="890">
        <v>7580295</v>
      </c>
      <c r="L33" s="890">
        <v>5816553</v>
      </c>
      <c r="M33" s="890">
        <v>47067749</v>
      </c>
      <c r="N33" s="890">
        <v>40058885</v>
      </c>
      <c r="O33" s="898">
        <v>3718232</v>
      </c>
      <c r="P33" s="890">
        <v>3874282</v>
      </c>
      <c r="Q33" s="890">
        <v>15844123</v>
      </c>
      <c r="R33" s="890">
        <v>26123869</v>
      </c>
      <c r="S33" s="890">
        <v>10684386</v>
      </c>
      <c r="T33" s="890">
        <v>10520768</v>
      </c>
      <c r="U33" s="895"/>
      <c r="V33" s="896">
        <v>34303882</v>
      </c>
      <c r="W33" s="897">
        <v>5028268</v>
      </c>
      <c r="X33" s="898">
        <v>4462974</v>
      </c>
      <c r="Y33" s="890">
        <v>12884159</v>
      </c>
      <c r="Z33" s="890">
        <f t="shared" si="0"/>
        <v>282552062</v>
      </c>
      <c r="AA33" s="890">
        <v>623844035</v>
      </c>
      <c r="AB33" s="890">
        <f t="shared" si="1"/>
        <v>906396097</v>
      </c>
    </row>
    <row r="34" spans="1:28" ht="17.25" x14ac:dyDescent="0.35">
      <c r="A34" s="395" t="s">
        <v>212</v>
      </c>
      <c r="B34" s="459" t="s">
        <v>213</v>
      </c>
      <c r="C34" s="455">
        <v>50553103</v>
      </c>
      <c r="D34" s="457">
        <v>3452646</v>
      </c>
      <c r="E34" s="466">
        <v>16113893</v>
      </c>
      <c r="F34" s="457">
        <v>80635480</v>
      </c>
      <c r="G34" s="457">
        <v>5694948</v>
      </c>
      <c r="H34" s="469">
        <v>17857419</v>
      </c>
      <c r="I34" s="457">
        <v>2543358</v>
      </c>
      <c r="J34" s="472">
        <v>736992</v>
      </c>
      <c r="K34" s="457">
        <v>12318296</v>
      </c>
      <c r="L34" s="457">
        <v>4043642</v>
      </c>
      <c r="M34" s="457">
        <v>126948777</v>
      </c>
      <c r="N34" s="457">
        <v>172258617</v>
      </c>
      <c r="O34" s="476">
        <v>4985287</v>
      </c>
      <c r="P34" s="457">
        <v>10989754</v>
      </c>
      <c r="Q34" s="457">
        <v>27709336</v>
      </c>
      <c r="R34" s="457">
        <v>49456149</v>
      </c>
      <c r="S34" s="457">
        <v>21084349</v>
      </c>
      <c r="T34" s="457">
        <v>29707943</v>
      </c>
      <c r="U34" s="478"/>
      <c r="V34" s="479">
        <v>116774881</v>
      </c>
      <c r="W34" s="482">
        <v>5640847</v>
      </c>
      <c r="X34" s="476">
        <v>9586814</v>
      </c>
      <c r="Y34" s="457">
        <v>21570400</v>
      </c>
      <c r="Z34" s="458">
        <f t="shared" si="0"/>
        <v>790662931</v>
      </c>
      <c r="AA34" s="457">
        <v>1965650396</v>
      </c>
      <c r="AB34" s="458">
        <f t="shared" si="1"/>
        <v>2756313327</v>
      </c>
    </row>
    <row r="35" spans="1:28" ht="17.25" x14ac:dyDescent="0.35">
      <c r="A35" s="395" t="s">
        <v>214</v>
      </c>
      <c r="B35" s="464"/>
      <c r="C35" s="455">
        <v>23143</v>
      </c>
      <c r="D35" s="457">
        <v>2739</v>
      </c>
      <c r="E35" s="466">
        <v>24430</v>
      </c>
      <c r="F35" s="457">
        <v>479443</v>
      </c>
      <c r="G35" s="457"/>
      <c r="H35" s="469">
        <v>3107</v>
      </c>
      <c r="I35" s="457">
        <v>226</v>
      </c>
      <c r="J35" s="472">
        <v>231</v>
      </c>
      <c r="K35" s="457">
        <v>6253</v>
      </c>
      <c r="L35" s="457">
        <v>4605</v>
      </c>
      <c r="M35" s="457">
        <f>231343+1934102</f>
        <v>2165445</v>
      </c>
      <c r="N35" s="457">
        <v>549239</v>
      </c>
      <c r="O35" s="476">
        <v>47</v>
      </c>
      <c r="P35" s="457"/>
      <c r="Q35" s="457">
        <v>154675</v>
      </c>
      <c r="R35" s="457">
        <v>10309</v>
      </c>
      <c r="S35" s="457">
        <v>25930</v>
      </c>
      <c r="T35" s="457">
        <v>7050</v>
      </c>
      <c r="U35" s="478"/>
      <c r="V35" s="479">
        <v>348113</v>
      </c>
      <c r="W35" s="482">
        <v>48128</v>
      </c>
      <c r="X35" s="476">
        <v>418</v>
      </c>
      <c r="Y35" s="457"/>
      <c r="Z35" s="458">
        <f t="shared" si="0"/>
        <v>3853531</v>
      </c>
      <c r="AA35" s="457">
        <v>15547918</v>
      </c>
      <c r="AB35" s="458">
        <f t="shared" si="1"/>
        <v>19401449</v>
      </c>
    </row>
    <row r="36" spans="1:28" ht="17.25" x14ac:dyDescent="0.35">
      <c r="A36" s="395" t="s">
        <v>215</v>
      </c>
      <c r="B36" s="464"/>
      <c r="C36" s="456"/>
      <c r="D36" s="458"/>
      <c r="E36" s="467"/>
      <c r="F36" s="458"/>
      <c r="G36" s="458"/>
      <c r="H36" s="470"/>
      <c r="I36" s="458"/>
      <c r="J36" s="473"/>
      <c r="K36" s="458"/>
      <c r="L36" s="458"/>
      <c r="M36" s="458"/>
      <c r="N36" s="458"/>
      <c r="O36" s="475"/>
      <c r="P36" s="458"/>
      <c r="Q36" s="477"/>
      <c r="R36" s="458"/>
      <c r="S36" s="458"/>
      <c r="T36" s="458"/>
      <c r="U36" s="478"/>
      <c r="V36" s="452"/>
      <c r="W36" s="482"/>
      <c r="X36" s="476"/>
      <c r="Y36" s="458"/>
      <c r="Z36" s="458">
        <f t="shared" si="0"/>
        <v>0</v>
      </c>
      <c r="AA36" s="458"/>
      <c r="AB36" s="458">
        <f t="shared" si="1"/>
        <v>0</v>
      </c>
    </row>
    <row r="37" spans="1:28" ht="17.25" x14ac:dyDescent="0.35">
      <c r="A37" s="395" t="s">
        <v>216</v>
      </c>
      <c r="B37" s="464"/>
      <c r="C37" s="455">
        <v>21182699</v>
      </c>
      <c r="D37" s="457">
        <v>2430453</v>
      </c>
      <c r="E37" s="466">
        <v>1004546</v>
      </c>
      <c r="F37" s="457">
        <v>18038482</v>
      </c>
      <c r="G37" s="457">
        <v>7793385</v>
      </c>
      <c r="H37" s="469">
        <v>13094615</v>
      </c>
      <c r="I37" s="457">
        <v>8766860</v>
      </c>
      <c r="J37" s="472">
        <v>5406819</v>
      </c>
      <c r="K37" s="457">
        <v>13248579</v>
      </c>
      <c r="L37" s="457">
        <f>-406439+3950304</f>
        <v>3543865</v>
      </c>
      <c r="M37" s="457">
        <v>103173833</v>
      </c>
      <c r="N37" s="457">
        <v>79470809</v>
      </c>
      <c r="O37" s="475">
        <v>12936072</v>
      </c>
      <c r="P37" s="457">
        <v>13915630</v>
      </c>
      <c r="Q37" s="457">
        <v>25130382</v>
      </c>
      <c r="R37" s="457">
        <v>75860248</v>
      </c>
      <c r="S37" s="457">
        <f>-4959563+26718118</f>
        <v>21758555</v>
      </c>
      <c r="T37" s="457">
        <f>-4099576+19326052</f>
        <v>15226476</v>
      </c>
      <c r="U37" s="478"/>
      <c r="V37" s="479">
        <v>71126954</v>
      </c>
      <c r="W37" s="482">
        <v>5755767</v>
      </c>
      <c r="X37" s="476">
        <v>9820036</v>
      </c>
      <c r="Y37" s="457">
        <f>21220637+7614184</f>
        <v>28834821</v>
      </c>
      <c r="Z37" s="458">
        <f t="shared" si="0"/>
        <v>557519886</v>
      </c>
      <c r="AA37" s="457">
        <v>2702754840</v>
      </c>
      <c r="AB37" s="458">
        <f t="shared" si="1"/>
        <v>3260274726</v>
      </c>
    </row>
    <row r="38" spans="1:28" ht="17.25" x14ac:dyDescent="0.35">
      <c r="A38" s="395" t="s">
        <v>217</v>
      </c>
      <c r="B38" s="464"/>
      <c r="C38" s="455">
        <v>-614700</v>
      </c>
      <c r="D38" s="457">
        <v>-230687</v>
      </c>
      <c r="E38" s="466">
        <v>188726</v>
      </c>
      <c r="F38" s="457">
        <v>-80878</v>
      </c>
      <c r="G38" s="457">
        <v>-65958</v>
      </c>
      <c r="H38" s="469"/>
      <c r="I38" s="457">
        <v>-483577</v>
      </c>
      <c r="J38" s="472">
        <v>-454625</v>
      </c>
      <c r="K38" s="457">
        <v>-350526</v>
      </c>
      <c r="L38" s="457">
        <v>30970</v>
      </c>
      <c r="M38" s="457">
        <v>-3800440</v>
      </c>
      <c r="N38" s="457">
        <v>-21232205</v>
      </c>
      <c r="O38" s="475">
        <v>-421</v>
      </c>
      <c r="P38" s="457">
        <v>-1037291</v>
      </c>
      <c r="Q38" s="457">
        <v>-73501</v>
      </c>
      <c r="R38" s="457">
        <v>-172959</v>
      </c>
      <c r="S38" s="457">
        <v>-2388689</v>
      </c>
      <c r="T38" s="457"/>
      <c r="U38" s="478"/>
      <c r="V38" s="479">
        <v>-105135</v>
      </c>
      <c r="W38" s="482"/>
      <c r="X38" s="476">
        <v>-135996</v>
      </c>
      <c r="Y38" s="457">
        <v>-2724427</v>
      </c>
      <c r="Z38" s="458">
        <f t="shared" si="0"/>
        <v>-33732319</v>
      </c>
      <c r="AA38" s="457"/>
      <c r="AB38" s="458">
        <f t="shared" si="1"/>
        <v>-33732319</v>
      </c>
    </row>
    <row r="39" spans="1:28" ht="17.25" x14ac:dyDescent="0.35">
      <c r="A39" s="395" t="s">
        <v>218</v>
      </c>
      <c r="B39" s="464"/>
      <c r="C39" s="455">
        <v>-983412</v>
      </c>
      <c r="D39" s="457"/>
      <c r="E39" s="466"/>
      <c r="F39" s="457"/>
      <c r="G39" s="457"/>
      <c r="H39" s="469"/>
      <c r="I39" s="457"/>
      <c r="J39" s="472"/>
      <c r="K39" s="457"/>
      <c r="L39" s="457"/>
      <c r="M39" s="457"/>
      <c r="N39" s="457"/>
      <c r="O39" s="475"/>
      <c r="P39" s="457"/>
      <c r="Q39" s="457"/>
      <c r="R39" s="457"/>
      <c r="S39" s="457"/>
      <c r="T39" s="457"/>
      <c r="U39" s="478"/>
      <c r="V39" s="452"/>
      <c r="W39" s="482"/>
      <c r="X39" s="476"/>
      <c r="Y39" s="457"/>
      <c r="Z39" s="458">
        <f t="shared" si="0"/>
        <v>-983412</v>
      </c>
      <c r="AA39" s="457"/>
      <c r="AB39" s="458">
        <f t="shared" si="1"/>
        <v>-983412</v>
      </c>
    </row>
    <row r="40" spans="1:28" ht="17.25" x14ac:dyDescent="0.35">
      <c r="A40" s="395" t="s">
        <v>219</v>
      </c>
      <c r="B40" s="464"/>
      <c r="C40" s="455">
        <v>3916797</v>
      </c>
      <c r="D40" s="457">
        <v>-610589</v>
      </c>
      <c r="E40" s="466"/>
      <c r="F40" s="457">
        <v>-1189680</v>
      </c>
      <c r="G40" s="457"/>
      <c r="H40" s="469"/>
      <c r="I40" s="457"/>
      <c r="J40" s="472"/>
      <c r="K40" s="457"/>
      <c r="L40" s="457"/>
      <c r="M40" s="457">
        <v>37917298</v>
      </c>
      <c r="N40" s="457">
        <v>83758848</v>
      </c>
      <c r="O40" s="475"/>
      <c r="P40" s="457">
        <v>3307504</v>
      </c>
      <c r="Q40" s="457"/>
      <c r="R40" s="457"/>
      <c r="S40" s="457"/>
      <c r="T40" s="457"/>
      <c r="U40" s="478"/>
      <c r="V40" s="479">
        <v>100174915</v>
      </c>
      <c r="W40" s="482"/>
      <c r="X40" s="476"/>
      <c r="Y40" s="457"/>
      <c r="Z40" s="458">
        <f t="shared" si="0"/>
        <v>227275093</v>
      </c>
      <c r="AA40" s="457"/>
      <c r="AB40" s="458">
        <f t="shared" si="1"/>
        <v>227275093</v>
      </c>
    </row>
    <row r="41" spans="1:28" ht="17.25" x14ac:dyDescent="0.35">
      <c r="A41" s="395" t="s">
        <v>220</v>
      </c>
      <c r="B41" s="464"/>
      <c r="C41" s="456"/>
      <c r="D41" s="458"/>
      <c r="E41" s="467">
        <v>-651281</v>
      </c>
      <c r="F41" s="458">
        <v>583832</v>
      </c>
      <c r="G41" s="458"/>
      <c r="H41" s="470"/>
      <c r="I41" s="458"/>
      <c r="J41" s="473"/>
      <c r="K41" s="458"/>
      <c r="L41" s="458"/>
      <c r="M41" s="458">
        <v>-4068176</v>
      </c>
      <c r="N41" s="458">
        <v>12477520</v>
      </c>
      <c r="O41" s="475"/>
      <c r="P41" s="458"/>
      <c r="Q41" s="477"/>
      <c r="R41" s="458">
        <v>3355394</v>
      </c>
      <c r="S41" s="458"/>
      <c r="T41" s="458"/>
      <c r="U41" s="478"/>
      <c r="V41" s="479">
        <v>4752897</v>
      </c>
      <c r="W41" s="482"/>
      <c r="X41" s="457">
        <v>-156447</v>
      </c>
      <c r="Y41" s="458"/>
      <c r="Z41" s="458">
        <f t="shared" si="0"/>
        <v>16293739</v>
      </c>
      <c r="AA41" s="458">
        <v>15863</v>
      </c>
      <c r="AB41" s="458">
        <f t="shared" si="1"/>
        <v>16309602</v>
      </c>
    </row>
    <row r="42" spans="1:28" ht="17.25" x14ac:dyDescent="0.35">
      <c r="A42" s="395" t="s">
        <v>247</v>
      </c>
      <c r="B42" s="464"/>
      <c r="C42" s="456"/>
      <c r="D42" s="458"/>
      <c r="E42" s="467"/>
      <c r="F42" s="458"/>
      <c r="G42" s="458"/>
      <c r="H42" s="470"/>
      <c r="I42" s="458"/>
      <c r="J42" s="473"/>
      <c r="K42" s="458"/>
      <c r="L42" s="458"/>
      <c r="M42" s="458"/>
      <c r="N42" s="458"/>
      <c r="O42" s="475"/>
      <c r="P42" s="458"/>
      <c r="Q42" s="477">
        <v>10876683</v>
      </c>
      <c r="R42" s="458"/>
      <c r="S42" s="458"/>
      <c r="T42" s="458"/>
      <c r="U42" s="478"/>
      <c r="V42" s="479"/>
      <c r="W42" s="482"/>
      <c r="X42" s="457">
        <v>-1600914</v>
      </c>
      <c r="Y42" s="458"/>
      <c r="Z42" s="458">
        <f t="shared" si="0"/>
        <v>9275769</v>
      </c>
      <c r="AA42" s="458">
        <v>-95920598</v>
      </c>
      <c r="AB42" s="458">
        <f t="shared" si="1"/>
        <v>-86644829</v>
      </c>
    </row>
    <row r="43" spans="1:28" ht="17.25" x14ac:dyDescent="0.35">
      <c r="A43" s="395" t="s">
        <v>251</v>
      </c>
      <c r="B43" s="464"/>
      <c r="C43" s="456"/>
      <c r="D43" s="458"/>
      <c r="E43" s="467"/>
      <c r="F43" s="458">
        <v>178224</v>
      </c>
      <c r="G43" s="458"/>
      <c r="H43" s="470"/>
      <c r="I43" s="458"/>
      <c r="J43" s="473"/>
      <c r="K43" s="458"/>
      <c r="L43" s="458"/>
      <c r="M43" s="458"/>
      <c r="N43" s="458"/>
      <c r="O43" s="475"/>
      <c r="P43" s="458"/>
      <c r="Q43" s="477"/>
      <c r="R43" s="458"/>
      <c r="S43" s="458"/>
      <c r="T43" s="458"/>
      <c r="U43" s="478"/>
      <c r="V43" s="479"/>
      <c r="W43" s="482"/>
      <c r="X43" s="457"/>
      <c r="Y43" s="458"/>
      <c r="Z43" s="458">
        <f t="shared" si="0"/>
        <v>178224</v>
      </c>
      <c r="AA43" s="458"/>
      <c r="AB43" s="458">
        <f t="shared" si="1"/>
        <v>178224</v>
      </c>
    </row>
    <row r="44" spans="1:28" s="899" customFormat="1" ht="18" x14ac:dyDescent="0.35">
      <c r="A44" s="887" t="s">
        <v>221</v>
      </c>
      <c r="B44" s="888"/>
      <c r="C44" s="889">
        <v>74077630</v>
      </c>
      <c r="D44" s="890">
        <v>5044561</v>
      </c>
      <c r="E44" s="891">
        <v>16680314</v>
      </c>
      <c r="F44" s="890">
        <v>88543113</v>
      </c>
      <c r="G44" s="890">
        <v>13422375</v>
      </c>
      <c r="H44" s="892">
        <v>30966141</v>
      </c>
      <c r="I44" s="890">
        <v>10816858</v>
      </c>
      <c r="J44" s="893">
        <v>5689417</v>
      </c>
      <c r="K44" s="890">
        <v>25222602</v>
      </c>
      <c r="L44" s="890">
        <v>7623082</v>
      </c>
      <c r="M44" s="890">
        <v>264336737</v>
      </c>
      <c r="N44" s="890">
        <v>327282828</v>
      </c>
      <c r="O44" s="898">
        <v>17820986</v>
      </c>
      <c r="P44" s="890">
        <v>27175597</v>
      </c>
      <c r="Q44" s="890">
        <v>63797575</v>
      </c>
      <c r="R44" s="890">
        <v>128509141</v>
      </c>
      <c r="S44" s="890">
        <v>40480145</v>
      </c>
      <c r="T44" s="890">
        <v>44941469</v>
      </c>
      <c r="U44" s="895"/>
      <c r="V44" s="896">
        <v>283072626</v>
      </c>
      <c r="W44" s="897">
        <v>11444743</v>
      </c>
      <c r="X44" s="898">
        <v>17513911</v>
      </c>
      <c r="Y44" s="890">
        <v>47680794</v>
      </c>
      <c r="Z44" s="890">
        <f t="shared" si="0"/>
        <v>1552142645</v>
      </c>
      <c r="AA44" s="890">
        <v>4588048871</v>
      </c>
      <c r="AB44" s="890">
        <f t="shared" si="1"/>
        <v>6140191516</v>
      </c>
    </row>
    <row r="45" spans="1:28" s="899" customFormat="1" ht="18" x14ac:dyDescent="0.35">
      <c r="A45" s="887" t="s">
        <v>222</v>
      </c>
      <c r="B45" s="888"/>
      <c r="C45" s="889">
        <v>2673642</v>
      </c>
      <c r="D45" s="890">
        <v>210323</v>
      </c>
      <c r="E45" s="891">
        <v>221878</v>
      </c>
      <c r="F45" s="890">
        <v>4782084</v>
      </c>
      <c r="G45" s="890">
        <v>2226683</v>
      </c>
      <c r="H45" s="892">
        <v>1227254</v>
      </c>
      <c r="I45" s="890">
        <v>3451130</v>
      </c>
      <c r="J45" s="893">
        <v>37402</v>
      </c>
      <c r="K45" s="890">
        <v>1354699</v>
      </c>
      <c r="L45" s="890">
        <v>114785</v>
      </c>
      <c r="M45" s="890">
        <v>10946167</v>
      </c>
      <c r="N45" s="890">
        <v>14832597</v>
      </c>
      <c r="O45" s="898">
        <v>1047788</v>
      </c>
      <c r="P45" s="890">
        <v>966094</v>
      </c>
      <c r="Q45" s="890">
        <v>3166526</v>
      </c>
      <c r="R45" s="890">
        <v>7082288</v>
      </c>
      <c r="S45" s="890">
        <v>1621026</v>
      </c>
      <c r="T45" s="890">
        <v>2657457</v>
      </c>
      <c r="U45" s="895"/>
      <c r="V45" s="896">
        <v>10228807</v>
      </c>
      <c r="W45" s="897">
        <v>595932</v>
      </c>
      <c r="X45" s="898">
        <v>942716</v>
      </c>
      <c r="Y45" s="890">
        <v>220850</v>
      </c>
      <c r="Z45" s="890">
        <f t="shared" si="0"/>
        <v>70608128</v>
      </c>
      <c r="AA45" s="890">
        <v>24218226</v>
      </c>
      <c r="AB45" s="890">
        <f t="shared" si="1"/>
        <v>94826354</v>
      </c>
    </row>
    <row r="46" spans="1:28" ht="17.25" x14ac:dyDescent="0.35">
      <c r="A46" s="459" t="s">
        <v>324</v>
      </c>
      <c r="B46" s="464"/>
      <c r="C46" s="456"/>
      <c r="D46" s="457"/>
      <c r="E46" s="466"/>
      <c r="F46" s="457">
        <v>167082</v>
      </c>
      <c r="G46" s="457"/>
      <c r="H46" s="469"/>
      <c r="I46" s="457"/>
      <c r="J46" s="473"/>
      <c r="K46" s="457"/>
      <c r="L46" s="457"/>
      <c r="M46" s="457"/>
      <c r="N46" s="457">
        <v>-1200710</v>
      </c>
      <c r="O46" s="476"/>
      <c r="P46" s="457"/>
      <c r="Q46" s="457"/>
      <c r="R46" s="457"/>
      <c r="S46" s="457"/>
      <c r="T46" s="457"/>
      <c r="U46" s="478"/>
      <c r="V46" s="480"/>
      <c r="W46" s="482"/>
      <c r="X46" s="476"/>
      <c r="Y46" s="457"/>
      <c r="Z46" s="458">
        <f t="shared" si="0"/>
        <v>-1033628</v>
      </c>
      <c r="AA46" s="457"/>
      <c r="AB46" s="458">
        <f t="shared" si="1"/>
        <v>-1033628</v>
      </c>
    </row>
    <row r="47" spans="1:28" ht="17.25" x14ac:dyDescent="0.35">
      <c r="A47" s="459" t="s">
        <v>223</v>
      </c>
      <c r="B47" s="464"/>
      <c r="C47" s="455"/>
      <c r="D47" s="457"/>
      <c r="E47" s="466"/>
      <c r="F47" s="457"/>
      <c r="G47" s="457"/>
      <c r="H47" s="469"/>
      <c r="I47" s="457"/>
      <c r="J47" s="472"/>
      <c r="K47" s="457"/>
      <c r="L47" s="457"/>
      <c r="M47" s="457"/>
      <c r="N47" s="457"/>
      <c r="O47" s="476"/>
      <c r="P47" s="457"/>
      <c r="Q47" s="457"/>
      <c r="R47" s="457"/>
      <c r="S47" s="457"/>
      <c r="T47" s="457"/>
      <c r="U47" s="478"/>
      <c r="V47" s="452"/>
      <c r="W47" s="482"/>
      <c r="X47" s="476"/>
      <c r="Y47" s="457"/>
      <c r="Z47" s="458">
        <f t="shared" si="0"/>
        <v>0</v>
      </c>
      <c r="AA47" s="457"/>
      <c r="AB47" s="458">
        <f t="shared" si="1"/>
        <v>0</v>
      </c>
    </row>
    <row r="48" spans="1:28" ht="17.25" x14ac:dyDescent="0.35">
      <c r="A48" s="459" t="s">
        <v>255</v>
      </c>
      <c r="B48" s="464"/>
      <c r="C48" s="455"/>
      <c r="D48" s="457"/>
      <c r="E48" s="466"/>
      <c r="F48" s="457"/>
      <c r="G48" s="457"/>
      <c r="H48" s="469"/>
      <c r="I48" s="457"/>
      <c r="J48" s="472"/>
      <c r="K48" s="457"/>
      <c r="L48" s="457"/>
      <c r="M48" s="457"/>
      <c r="N48" s="457"/>
      <c r="O48" s="476"/>
      <c r="P48" s="457"/>
      <c r="Q48" s="457"/>
      <c r="R48" s="457"/>
      <c r="S48" s="457"/>
      <c r="T48" s="457"/>
      <c r="U48" s="478"/>
      <c r="V48" s="452"/>
      <c r="W48" s="482"/>
      <c r="X48" s="476"/>
      <c r="Y48" s="457">
        <v>10591</v>
      </c>
      <c r="Z48" s="458"/>
      <c r="AA48" s="457"/>
      <c r="AB48" s="458"/>
    </row>
    <row r="49" spans="1:28" ht="17.25" x14ac:dyDescent="0.35">
      <c r="A49" s="395" t="s">
        <v>224</v>
      </c>
      <c r="B49" s="464"/>
      <c r="C49" s="455"/>
      <c r="D49" s="457"/>
      <c r="E49" s="466"/>
      <c r="F49" s="457"/>
      <c r="G49" s="457"/>
      <c r="H49" s="469"/>
      <c r="I49" s="457"/>
      <c r="J49" s="472"/>
      <c r="K49" s="457"/>
      <c r="L49" s="457"/>
      <c r="M49" s="457"/>
      <c r="N49" s="457"/>
      <c r="O49" s="476"/>
      <c r="P49" s="457"/>
      <c r="Q49" s="457"/>
      <c r="R49" s="457"/>
      <c r="S49" s="457"/>
      <c r="T49" s="457"/>
      <c r="U49" s="478"/>
      <c r="V49" s="479"/>
      <c r="W49" s="482"/>
      <c r="X49" s="476"/>
      <c r="Y49" s="457"/>
      <c r="Z49" s="458">
        <f t="shared" si="0"/>
        <v>0</v>
      </c>
      <c r="AA49" s="457"/>
      <c r="AB49" s="458">
        <f t="shared" si="1"/>
        <v>0</v>
      </c>
    </row>
    <row r="50" spans="1:28" ht="17.25" x14ac:dyDescent="0.35">
      <c r="A50" s="459" t="s">
        <v>137</v>
      </c>
      <c r="B50" s="464"/>
      <c r="C50" s="456"/>
      <c r="D50" s="458"/>
      <c r="E50" s="467"/>
      <c r="F50" s="458"/>
      <c r="G50" s="458"/>
      <c r="H50" s="470"/>
      <c r="I50" s="458"/>
      <c r="J50" s="473"/>
      <c r="K50" s="458"/>
      <c r="L50" s="458"/>
      <c r="M50" s="458"/>
      <c r="N50" s="458"/>
      <c r="O50" s="457"/>
      <c r="P50" s="458"/>
      <c r="Q50" s="477"/>
      <c r="R50" s="458"/>
      <c r="S50" s="458"/>
      <c r="T50" s="458"/>
      <c r="U50" s="478"/>
      <c r="V50" s="452"/>
      <c r="W50" s="482"/>
      <c r="X50" s="457"/>
      <c r="Y50" s="458"/>
      <c r="Z50" s="458">
        <f t="shared" si="0"/>
        <v>0</v>
      </c>
      <c r="AA50" s="458"/>
      <c r="AB50" s="458">
        <f t="shared" si="1"/>
        <v>0</v>
      </c>
    </row>
    <row r="51" spans="1:28" ht="17.25" x14ac:dyDescent="0.35">
      <c r="A51" s="395" t="s">
        <v>225</v>
      </c>
      <c r="B51" s="464"/>
      <c r="C51" s="455">
        <v>2690066</v>
      </c>
      <c r="D51" s="457">
        <v>27892</v>
      </c>
      <c r="E51" s="466">
        <v>239307</v>
      </c>
      <c r="F51" s="457">
        <v>3486423</v>
      </c>
      <c r="G51" s="457">
        <v>1452362</v>
      </c>
      <c r="H51" s="469">
        <v>1177982</v>
      </c>
      <c r="I51" s="457">
        <v>3451130</v>
      </c>
      <c r="J51" s="474">
        <v>13951</v>
      </c>
      <c r="K51" s="457">
        <v>787293</v>
      </c>
      <c r="L51" s="457">
        <v>45639</v>
      </c>
      <c r="M51" s="457">
        <v>10022033</v>
      </c>
      <c r="N51" s="457">
        <v>10892136</v>
      </c>
      <c r="O51" s="476">
        <v>660354</v>
      </c>
      <c r="P51" s="457">
        <v>629305</v>
      </c>
      <c r="Q51" s="457">
        <v>2924360</v>
      </c>
      <c r="R51" s="457">
        <v>3991670</v>
      </c>
      <c r="S51" s="457">
        <v>1352880</v>
      </c>
      <c r="T51" s="457">
        <v>1316045</v>
      </c>
      <c r="U51" s="478"/>
      <c r="V51" s="479">
        <v>8294015</v>
      </c>
      <c r="W51" s="482">
        <v>585980</v>
      </c>
      <c r="X51" s="476">
        <v>777442</v>
      </c>
      <c r="Y51" s="457">
        <v>1851910</v>
      </c>
      <c r="Z51" s="458">
        <f t="shared" si="0"/>
        <v>56670175</v>
      </c>
      <c r="AA51" s="457">
        <v>24218226</v>
      </c>
      <c r="AB51" s="458">
        <f t="shared" si="1"/>
        <v>80888401</v>
      </c>
    </row>
    <row r="52" spans="1:28" ht="17.25" x14ac:dyDescent="0.35">
      <c r="A52" s="395" t="s">
        <v>245</v>
      </c>
      <c r="B52" s="464"/>
      <c r="C52" s="455"/>
      <c r="D52" s="457">
        <v>-505605</v>
      </c>
      <c r="E52" s="466"/>
      <c r="F52" s="457"/>
      <c r="G52" s="457"/>
      <c r="H52" s="469"/>
      <c r="I52" s="457"/>
      <c r="J52" s="474"/>
      <c r="K52" s="457"/>
      <c r="L52" s="457"/>
      <c r="M52" s="457"/>
      <c r="N52" s="457"/>
      <c r="O52" s="476"/>
      <c r="P52" s="457"/>
      <c r="Q52" s="457"/>
      <c r="R52" s="457"/>
      <c r="S52" s="457"/>
      <c r="T52" s="457"/>
      <c r="U52" s="478"/>
      <c r="V52" s="479"/>
      <c r="W52" s="482"/>
      <c r="X52" s="476"/>
      <c r="Y52" s="457"/>
      <c r="Z52" s="458">
        <f t="shared" si="0"/>
        <v>-505605</v>
      </c>
      <c r="AA52" s="457"/>
      <c r="AB52" s="458">
        <f t="shared" si="1"/>
        <v>-505605</v>
      </c>
    </row>
    <row r="53" spans="1:28" ht="17.25" x14ac:dyDescent="0.35">
      <c r="A53" s="395" t="s">
        <v>226</v>
      </c>
      <c r="B53" s="464"/>
      <c r="C53" s="455"/>
      <c r="D53" s="457"/>
      <c r="E53" s="466"/>
      <c r="F53" s="457"/>
      <c r="G53" s="457"/>
      <c r="H53" s="469"/>
      <c r="I53" s="457"/>
      <c r="J53" s="474"/>
      <c r="K53" s="457"/>
      <c r="L53" s="457"/>
      <c r="M53" s="457"/>
      <c r="N53" s="457"/>
      <c r="O53" s="476"/>
      <c r="P53" s="457"/>
      <c r="Q53" s="457"/>
      <c r="R53" s="457"/>
      <c r="S53" s="457"/>
      <c r="T53" s="457"/>
      <c r="U53" s="478"/>
      <c r="V53" s="452"/>
      <c r="W53" s="482"/>
      <c r="X53" s="476"/>
      <c r="Y53" s="457"/>
      <c r="Z53" s="458">
        <f t="shared" si="0"/>
        <v>0</v>
      </c>
      <c r="AA53" s="457"/>
      <c r="AB53" s="458">
        <f t="shared" si="1"/>
        <v>0</v>
      </c>
    </row>
    <row r="54" spans="1:28" ht="17.25" x14ac:dyDescent="0.35">
      <c r="A54" s="395" t="s">
        <v>227</v>
      </c>
      <c r="B54" s="464"/>
      <c r="C54" s="455">
        <v>-16424</v>
      </c>
      <c r="D54" s="457">
        <v>679036</v>
      </c>
      <c r="E54" s="466">
        <v>-17428</v>
      </c>
      <c r="F54" s="457">
        <v>1139689</v>
      </c>
      <c r="G54" s="457">
        <v>774321</v>
      </c>
      <c r="H54" s="469">
        <v>49272</v>
      </c>
      <c r="I54" s="457"/>
      <c r="J54" s="474">
        <v>23451</v>
      </c>
      <c r="K54" s="457">
        <v>567406</v>
      </c>
      <c r="L54" s="457">
        <v>69146</v>
      </c>
      <c r="M54" s="457">
        <v>924134</v>
      </c>
      <c r="N54" s="457">
        <v>2739745</v>
      </c>
      <c r="O54" s="476">
        <v>387432</v>
      </c>
      <c r="P54" s="457">
        <v>336789</v>
      </c>
      <c r="Q54" s="457">
        <v>242166</v>
      </c>
      <c r="R54" s="457">
        <v>18655442</v>
      </c>
      <c r="S54" s="457">
        <v>268146</v>
      </c>
      <c r="T54" s="457">
        <v>1341412</v>
      </c>
      <c r="U54" s="478"/>
      <c r="V54" s="479">
        <v>1934792</v>
      </c>
      <c r="W54" s="482">
        <v>23212</v>
      </c>
      <c r="X54" s="476">
        <v>279847</v>
      </c>
      <c r="Y54" s="457">
        <v>379531</v>
      </c>
      <c r="Z54" s="458">
        <f t="shared" si="0"/>
        <v>30781117</v>
      </c>
      <c r="AA54" s="457"/>
      <c r="AB54" s="458">
        <f t="shared" si="1"/>
        <v>30781117</v>
      </c>
    </row>
    <row r="55" spans="1:28" s="899" customFormat="1" ht="18" x14ac:dyDescent="0.35">
      <c r="A55" s="887" t="s">
        <v>228</v>
      </c>
      <c r="B55" s="888"/>
      <c r="C55" s="889">
        <v>2673642</v>
      </c>
      <c r="D55" s="890">
        <v>201323</v>
      </c>
      <c r="E55" s="891">
        <v>221879</v>
      </c>
      <c r="F55" s="890">
        <v>4635012</v>
      </c>
      <c r="G55" s="890">
        <v>2226683</v>
      </c>
      <c r="H55" s="892">
        <v>1227264</v>
      </c>
      <c r="I55" s="890">
        <v>3251130</v>
      </c>
      <c r="J55" s="900">
        <v>37402</v>
      </c>
      <c r="K55" s="890">
        <v>1354699</v>
      </c>
      <c r="L55" s="890">
        <v>114785</v>
      </c>
      <c r="M55" s="890">
        <v>10946167</v>
      </c>
      <c r="N55" s="890">
        <v>13631881</v>
      </c>
      <c r="O55" s="898">
        <v>1047788</v>
      </c>
      <c r="P55" s="890">
        <v>966094</v>
      </c>
      <c r="Q55" s="890">
        <v>2029956</v>
      </c>
      <c r="R55" s="890">
        <f>R51+R54</f>
        <v>22647112</v>
      </c>
      <c r="S55" s="890">
        <v>1621026</v>
      </c>
      <c r="T55" s="890">
        <v>2657457</v>
      </c>
      <c r="U55" s="895"/>
      <c r="V55" s="896">
        <v>10228807</v>
      </c>
      <c r="W55" s="897">
        <v>609192</v>
      </c>
      <c r="X55" s="898">
        <v>1057289</v>
      </c>
      <c r="Y55" s="890">
        <v>2231441</v>
      </c>
      <c r="Z55" s="890">
        <f t="shared" si="0"/>
        <v>85618029</v>
      </c>
      <c r="AA55" s="890">
        <v>24218226</v>
      </c>
      <c r="AB55" s="890">
        <f t="shared" si="1"/>
        <v>109836255</v>
      </c>
    </row>
    <row r="56" spans="1:28" ht="17.25" x14ac:dyDescent="0.35">
      <c r="A56" s="395" t="s">
        <v>229</v>
      </c>
      <c r="B56" s="464"/>
      <c r="C56" s="456">
        <v>23143</v>
      </c>
      <c r="D56" s="458">
        <v>2739</v>
      </c>
      <c r="E56" s="467">
        <v>24431</v>
      </c>
      <c r="F56" s="458">
        <v>479443</v>
      </c>
      <c r="G56" s="458"/>
      <c r="H56" s="470">
        <v>3107</v>
      </c>
      <c r="I56" s="458">
        <v>226</v>
      </c>
      <c r="J56" s="127">
        <v>231</v>
      </c>
      <c r="K56" s="458"/>
      <c r="L56" s="458">
        <f>2779+1826</f>
        <v>4605</v>
      </c>
      <c r="M56" s="458">
        <f>231343+1934102</f>
        <v>2165445</v>
      </c>
      <c r="N56" s="458">
        <v>549239</v>
      </c>
      <c r="O56" s="475"/>
      <c r="P56" s="458"/>
      <c r="Q56" s="477">
        <v>154675</v>
      </c>
      <c r="R56" s="458">
        <v>10309</v>
      </c>
      <c r="S56" s="458">
        <v>25930</v>
      </c>
      <c r="T56" s="458">
        <v>7050</v>
      </c>
      <c r="U56" s="478"/>
      <c r="V56" s="479">
        <v>348113</v>
      </c>
      <c r="W56" s="482">
        <v>48128</v>
      </c>
      <c r="X56" s="457">
        <v>418</v>
      </c>
      <c r="Y56" s="458"/>
      <c r="Z56" s="458">
        <f t="shared" si="0"/>
        <v>3847232</v>
      </c>
      <c r="AA56" s="458">
        <v>15547918</v>
      </c>
      <c r="AB56" s="458">
        <f t="shared" si="1"/>
        <v>19395150</v>
      </c>
    </row>
    <row r="57" spans="1:28" ht="17.25" x14ac:dyDescent="0.35">
      <c r="A57" s="395" t="s">
        <v>230</v>
      </c>
      <c r="B57" s="464"/>
      <c r="C57" s="455">
        <v>1566303</v>
      </c>
      <c r="D57" s="457">
        <v>248286</v>
      </c>
      <c r="E57" s="466">
        <v>46779</v>
      </c>
      <c r="F57" s="457">
        <v>4587068</v>
      </c>
      <c r="G57" s="457">
        <v>542597</v>
      </c>
      <c r="H57" s="469">
        <v>304352</v>
      </c>
      <c r="I57" s="457">
        <v>80588</v>
      </c>
      <c r="J57" s="474">
        <v>114775</v>
      </c>
      <c r="K57" s="457"/>
      <c r="L57" s="457">
        <v>519238</v>
      </c>
      <c r="M57" s="457">
        <v>7083543</v>
      </c>
      <c r="N57" s="457">
        <v>4118731</v>
      </c>
      <c r="O57" s="476"/>
      <c r="P57" s="457"/>
      <c r="Q57" s="457">
        <v>1932315</v>
      </c>
      <c r="R57" s="457">
        <v>10844833</v>
      </c>
      <c r="S57" s="457">
        <v>2128327</v>
      </c>
      <c r="T57" s="457">
        <v>1535831</v>
      </c>
      <c r="U57" s="478"/>
      <c r="V57" s="452">
        <v>9522497</v>
      </c>
      <c r="W57" s="482">
        <v>901431</v>
      </c>
      <c r="X57" s="476">
        <v>185018</v>
      </c>
      <c r="Y57" s="457">
        <v>3911910</v>
      </c>
      <c r="Z57" s="458">
        <f t="shared" si="0"/>
        <v>50174422</v>
      </c>
      <c r="AA57" s="457">
        <v>460146288</v>
      </c>
      <c r="AB57" s="458">
        <f t="shared" si="1"/>
        <v>510320710</v>
      </c>
    </row>
    <row r="58" spans="1:28" ht="18" thickBot="1" x14ac:dyDescent="0.4">
      <c r="A58" s="700" t="s">
        <v>231</v>
      </c>
      <c r="B58" s="701"/>
      <c r="C58" s="702">
        <v>2673642</v>
      </c>
      <c r="D58" s="703">
        <v>201323</v>
      </c>
      <c r="E58" s="704">
        <v>221879</v>
      </c>
      <c r="F58" s="703">
        <v>4635012</v>
      </c>
      <c r="G58" s="703"/>
      <c r="H58" s="705">
        <v>1227254</v>
      </c>
      <c r="I58" s="703">
        <v>3451130</v>
      </c>
      <c r="J58" s="706">
        <v>37402</v>
      </c>
      <c r="K58" s="703"/>
      <c r="L58" s="703">
        <v>114785</v>
      </c>
      <c r="M58" s="703">
        <v>10946167</v>
      </c>
      <c r="N58" s="703">
        <v>12879097</v>
      </c>
      <c r="O58" s="707"/>
      <c r="P58" s="703"/>
      <c r="Q58" s="703">
        <v>242166</v>
      </c>
      <c r="R58" s="703">
        <v>22647112</v>
      </c>
      <c r="S58" s="703">
        <v>1621026</v>
      </c>
      <c r="T58" s="703">
        <v>2657457</v>
      </c>
      <c r="U58" s="708"/>
      <c r="V58" s="709">
        <v>10228807</v>
      </c>
      <c r="W58" s="710">
        <v>595932</v>
      </c>
      <c r="X58" s="707">
        <v>942716</v>
      </c>
      <c r="Y58" s="710">
        <v>2220850</v>
      </c>
      <c r="Z58" s="711">
        <f t="shared" si="0"/>
        <v>77543757</v>
      </c>
      <c r="AA58" s="703">
        <v>24218226</v>
      </c>
      <c r="AB58" s="711">
        <f t="shared" si="1"/>
        <v>101761983</v>
      </c>
    </row>
    <row r="59" spans="1:28" s="683" customFormat="1" ht="18.75" thickBot="1" x14ac:dyDescent="0.4">
      <c r="A59" s="712" t="s">
        <v>232</v>
      </c>
      <c r="B59" s="713"/>
      <c r="C59" s="714">
        <v>4263088</v>
      </c>
      <c r="D59" s="715">
        <v>452348</v>
      </c>
      <c r="E59" s="716">
        <v>293089</v>
      </c>
      <c r="F59" s="715">
        <v>9701613</v>
      </c>
      <c r="G59" s="715">
        <v>542597</v>
      </c>
      <c r="H59" s="717">
        <v>1634713</v>
      </c>
      <c r="I59" s="715">
        <v>3531921</v>
      </c>
      <c r="J59" s="718">
        <v>152408</v>
      </c>
      <c r="K59" s="715"/>
      <c r="L59" s="715">
        <v>638628</v>
      </c>
      <c r="M59" s="715">
        <v>20195155</v>
      </c>
      <c r="N59" s="715">
        <v>17547067</v>
      </c>
      <c r="O59" s="719"/>
      <c r="P59" s="715"/>
      <c r="Q59" s="715">
        <v>2329156</v>
      </c>
      <c r="R59" s="715">
        <v>33502254</v>
      </c>
      <c r="S59" s="715">
        <v>3775283</v>
      </c>
      <c r="T59" s="715">
        <v>4200338</v>
      </c>
      <c r="U59" s="720"/>
      <c r="V59" s="721">
        <v>20089417</v>
      </c>
      <c r="W59" s="722">
        <v>1545932</v>
      </c>
      <c r="X59" s="719">
        <v>1128152</v>
      </c>
      <c r="Y59" s="715">
        <v>6132760</v>
      </c>
      <c r="Z59" s="715">
        <f t="shared" si="0"/>
        <v>131655919</v>
      </c>
      <c r="AA59" s="715">
        <v>499912432</v>
      </c>
      <c r="AB59" s="715">
        <f t="shared" si="1"/>
        <v>631568351</v>
      </c>
    </row>
  </sheetData>
  <mergeCells count="2">
    <mergeCell ref="A1:AB1"/>
    <mergeCell ref="A2: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4"/>
  <sheetViews>
    <sheetView workbookViewId="0">
      <pane xSplit="1" topLeftCell="B1" activePane="topRight" state="frozen"/>
      <selection pane="topRight" sqref="A1:AZ1"/>
    </sheetView>
    <sheetView workbookViewId="1">
      <selection sqref="A1:AZ1"/>
    </sheetView>
  </sheetViews>
  <sheetFormatPr defaultRowHeight="14.25" x14ac:dyDescent="0.3"/>
  <cols>
    <col min="1" max="1" width="24.42578125" style="10" customWidth="1"/>
    <col min="2" max="2" width="11.7109375" style="10" bestFit="1" customWidth="1"/>
    <col min="3" max="3" width="12.85546875" style="10" bestFit="1" customWidth="1"/>
    <col min="4" max="4" width="11.7109375" style="10" bestFit="1" customWidth="1"/>
    <col min="5" max="5" width="12.85546875" style="10" bestFit="1" customWidth="1"/>
    <col min="6" max="6" width="11.7109375" style="10" bestFit="1" customWidth="1"/>
    <col min="7" max="7" width="12.85546875" style="10" bestFit="1" customWidth="1"/>
    <col min="8" max="8" width="11.7109375" style="10" bestFit="1" customWidth="1"/>
    <col min="9" max="9" width="12.85546875" style="10" bestFit="1" customWidth="1"/>
    <col min="10" max="10" width="11.7109375" style="10" bestFit="1" customWidth="1"/>
    <col min="11" max="11" width="12.85546875" style="10" bestFit="1" customWidth="1"/>
    <col min="12" max="12" width="11.7109375" style="10" bestFit="1" customWidth="1"/>
    <col min="13" max="13" width="12.85546875" style="10" bestFit="1" customWidth="1"/>
    <col min="14" max="14" width="11.7109375" style="10" bestFit="1" customWidth="1"/>
    <col min="15" max="15" width="12.85546875" style="10" bestFit="1" customWidth="1"/>
    <col min="16" max="16" width="11.7109375" style="36" bestFit="1" customWidth="1"/>
    <col min="17" max="17" width="12.85546875" style="36" bestFit="1" customWidth="1"/>
    <col min="18" max="18" width="11.7109375" style="10" bestFit="1" customWidth="1"/>
    <col min="19" max="19" width="12.85546875" style="10" bestFit="1" customWidth="1"/>
    <col min="20" max="20" width="11.7109375" style="10" bestFit="1" customWidth="1"/>
    <col min="21" max="21" width="12.85546875" style="10" bestFit="1" customWidth="1"/>
    <col min="22" max="22" width="11.7109375" style="10" bestFit="1" customWidth="1"/>
    <col min="23" max="23" width="12.85546875" style="10" bestFit="1" customWidth="1"/>
    <col min="24" max="24" width="11.7109375" style="10" bestFit="1" customWidth="1"/>
    <col min="25" max="25" width="12.85546875" style="10" bestFit="1" customWidth="1"/>
    <col min="26" max="26" width="11.7109375" style="36" bestFit="1" customWidth="1"/>
    <col min="27" max="27" width="12.85546875" style="36" bestFit="1" customWidth="1"/>
    <col min="28" max="28" width="11.7109375" style="10" bestFit="1" customWidth="1"/>
    <col min="29" max="29" width="12.85546875" style="10" bestFit="1" customWidth="1"/>
    <col min="30" max="30" width="11.7109375" style="10" bestFit="1" customWidth="1"/>
    <col min="31" max="31" width="12.85546875" style="10" bestFit="1" customWidth="1"/>
    <col min="32" max="32" width="11.7109375" style="10" bestFit="1" customWidth="1"/>
    <col min="33" max="33" width="12.85546875" style="10" bestFit="1" customWidth="1"/>
    <col min="34" max="34" width="11.7109375" style="10" bestFit="1" customWidth="1"/>
    <col min="35" max="35" width="12.85546875" style="10" bestFit="1" customWidth="1"/>
    <col min="36" max="36" width="11.7109375" style="10" bestFit="1" customWidth="1"/>
    <col min="37" max="37" width="12.85546875" style="10" bestFit="1" customWidth="1"/>
    <col min="38" max="38" width="11.7109375" style="10" bestFit="1" customWidth="1"/>
    <col min="39" max="39" width="12.85546875" style="10" bestFit="1" customWidth="1"/>
    <col min="40" max="40" width="11.7109375" style="10" bestFit="1" customWidth="1"/>
    <col min="41" max="41" width="12.85546875" style="10" bestFit="1" customWidth="1"/>
    <col min="42" max="42" width="11.7109375" style="10" bestFit="1" customWidth="1"/>
    <col min="43" max="43" width="12.85546875" style="10" bestFit="1" customWidth="1"/>
    <col min="44" max="44" width="11.7109375" style="10" bestFit="1" customWidth="1"/>
    <col min="45" max="45" width="12.85546875" style="10" bestFit="1" customWidth="1"/>
    <col min="46" max="46" width="11.7109375" style="10" bestFit="1" customWidth="1"/>
    <col min="47" max="47" width="12.85546875" style="10" bestFit="1" customWidth="1"/>
    <col min="48" max="48" width="11.7109375" style="10" bestFit="1" customWidth="1"/>
    <col min="49" max="49" width="12.85546875" style="10" bestFit="1" customWidth="1"/>
    <col min="50" max="50" width="11.7109375" style="10" bestFit="1" customWidth="1"/>
    <col min="51" max="51" width="12.85546875" style="10" bestFit="1" customWidth="1"/>
    <col min="52" max="52" width="11.7109375" style="10" bestFit="1" customWidth="1"/>
    <col min="53" max="53" width="12.85546875" style="10" bestFit="1" customWidth="1"/>
    <col min="54" max="16384" width="9.140625" style="10"/>
  </cols>
  <sheetData>
    <row r="1" spans="1:53" x14ac:dyDescent="0.3">
      <c r="A1" s="1010" t="s">
        <v>15</v>
      </c>
      <c r="B1" s="1010"/>
      <c r="C1" s="1010"/>
      <c r="D1" s="1010"/>
      <c r="E1" s="1010"/>
      <c r="F1" s="1010"/>
      <c r="G1" s="1010"/>
      <c r="H1" s="1010"/>
      <c r="I1" s="1010"/>
      <c r="J1" s="1010"/>
      <c r="K1" s="1010"/>
      <c r="L1" s="1010"/>
      <c r="M1" s="1010"/>
      <c r="N1" s="1010"/>
      <c r="O1" s="1010"/>
      <c r="P1" s="1010"/>
      <c r="Q1" s="1010"/>
      <c r="R1" s="1010"/>
      <c r="S1" s="1010"/>
      <c r="T1" s="1010"/>
      <c r="U1" s="1010"/>
      <c r="V1" s="1010"/>
      <c r="W1" s="1010"/>
      <c r="X1" s="1010"/>
      <c r="Y1" s="1010"/>
      <c r="Z1" s="1010"/>
      <c r="AA1" s="1010"/>
      <c r="AB1" s="1010"/>
      <c r="AC1" s="1010"/>
      <c r="AD1" s="1010"/>
      <c r="AE1" s="1010"/>
      <c r="AF1" s="1010"/>
      <c r="AG1" s="1010"/>
      <c r="AH1" s="1010"/>
      <c r="AI1" s="1010"/>
      <c r="AJ1" s="1010"/>
      <c r="AK1" s="1010"/>
      <c r="AL1" s="1010"/>
      <c r="AM1" s="1010"/>
      <c r="AN1" s="1010"/>
      <c r="AO1" s="1010"/>
      <c r="AP1" s="1010"/>
      <c r="AQ1" s="1010"/>
      <c r="AR1" s="1010"/>
      <c r="AS1" s="1010"/>
      <c r="AT1" s="1010"/>
      <c r="AU1" s="1010"/>
      <c r="AV1" s="1010"/>
      <c r="AW1" s="1010"/>
      <c r="AX1" s="1010"/>
      <c r="AY1" s="1010"/>
      <c r="AZ1" s="1010"/>
    </row>
    <row r="2" spans="1:53" ht="15" thickBot="1" x14ac:dyDescent="0.35">
      <c r="A2" s="981"/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  <c r="AF2" s="981"/>
      <c r="AG2" s="981"/>
      <c r="AH2" s="981"/>
      <c r="AI2" s="981"/>
      <c r="AJ2" s="981"/>
      <c r="AK2" s="981"/>
      <c r="AL2" s="981"/>
      <c r="AM2" s="981"/>
      <c r="AN2" s="981"/>
      <c r="AO2" s="981"/>
      <c r="AP2" s="981"/>
      <c r="AQ2" s="981"/>
      <c r="AR2" s="981"/>
      <c r="AS2" s="981"/>
      <c r="AT2" s="981"/>
      <c r="AU2" s="981"/>
      <c r="AV2" s="981"/>
      <c r="AW2" s="981"/>
      <c r="AX2" s="981"/>
      <c r="AY2" s="981"/>
      <c r="AZ2" s="981"/>
    </row>
    <row r="3" spans="1:53" ht="36" customHeight="1" x14ac:dyDescent="0.3">
      <c r="A3" s="998" t="s">
        <v>0</v>
      </c>
      <c r="B3" s="820" t="s">
        <v>155</v>
      </c>
      <c r="C3" s="821"/>
      <c r="D3" s="1004" t="s">
        <v>156</v>
      </c>
      <c r="E3" s="1005"/>
      <c r="F3" s="1004" t="s">
        <v>157</v>
      </c>
      <c r="G3" s="1005"/>
      <c r="H3" s="1004" t="s">
        <v>158</v>
      </c>
      <c r="I3" s="1005"/>
      <c r="J3" s="1004" t="s">
        <v>159</v>
      </c>
      <c r="K3" s="1005"/>
      <c r="L3" s="1004" t="s">
        <v>160</v>
      </c>
      <c r="M3" s="1005"/>
      <c r="N3" s="1004" t="s">
        <v>161</v>
      </c>
      <c r="O3" s="1005"/>
      <c r="P3" s="1008" t="s">
        <v>162</v>
      </c>
      <c r="Q3" s="1009"/>
      <c r="R3" s="1004" t="s">
        <v>163</v>
      </c>
      <c r="S3" s="1005"/>
      <c r="T3" s="1004" t="s">
        <v>164</v>
      </c>
      <c r="U3" s="1005"/>
      <c r="V3" s="1004" t="s">
        <v>165</v>
      </c>
      <c r="W3" s="1005"/>
      <c r="X3" s="1004" t="s">
        <v>166</v>
      </c>
      <c r="Y3" s="1005"/>
      <c r="Z3" s="1008" t="s">
        <v>167</v>
      </c>
      <c r="AA3" s="1009"/>
      <c r="AB3" s="1004" t="s">
        <v>168</v>
      </c>
      <c r="AC3" s="1005"/>
      <c r="AD3" s="1006" t="s">
        <v>169</v>
      </c>
      <c r="AE3" s="1007"/>
      <c r="AF3" s="1004" t="s">
        <v>170</v>
      </c>
      <c r="AG3" s="1005"/>
      <c r="AH3" s="1004" t="s">
        <v>171</v>
      </c>
      <c r="AI3" s="1005"/>
      <c r="AJ3" s="1004" t="s">
        <v>172</v>
      </c>
      <c r="AK3" s="1005"/>
      <c r="AL3" s="1006" t="s">
        <v>173</v>
      </c>
      <c r="AM3" s="1007"/>
      <c r="AN3" s="1004" t="s">
        <v>174</v>
      </c>
      <c r="AO3" s="1005"/>
      <c r="AP3" s="1004" t="s">
        <v>175</v>
      </c>
      <c r="AQ3" s="1005"/>
      <c r="AR3" s="1004" t="s">
        <v>176</v>
      </c>
      <c r="AS3" s="1005"/>
      <c r="AT3" s="1004" t="s">
        <v>177</v>
      </c>
      <c r="AU3" s="1005"/>
      <c r="AV3" s="1004" t="s">
        <v>1</v>
      </c>
      <c r="AW3" s="1005"/>
      <c r="AX3" s="1006" t="s">
        <v>178</v>
      </c>
      <c r="AY3" s="1007"/>
      <c r="AZ3" s="1006" t="s">
        <v>2</v>
      </c>
      <c r="BA3" s="1007"/>
    </row>
    <row r="4" spans="1:53" s="410" customFormat="1" ht="15" thickBot="1" x14ac:dyDescent="0.35">
      <c r="A4" s="999"/>
      <c r="B4" s="758" t="s">
        <v>180</v>
      </c>
      <c r="C4" s="759" t="s">
        <v>181</v>
      </c>
      <c r="D4" s="758" t="s">
        <v>180</v>
      </c>
      <c r="E4" s="759" t="s">
        <v>181</v>
      </c>
      <c r="F4" s="758" t="s">
        <v>180</v>
      </c>
      <c r="G4" s="759" t="s">
        <v>181</v>
      </c>
      <c r="H4" s="758" t="s">
        <v>180</v>
      </c>
      <c r="I4" s="759" t="s">
        <v>181</v>
      </c>
      <c r="J4" s="758" t="s">
        <v>180</v>
      </c>
      <c r="K4" s="759" t="s">
        <v>181</v>
      </c>
      <c r="L4" s="758" t="s">
        <v>180</v>
      </c>
      <c r="M4" s="759" t="s">
        <v>181</v>
      </c>
      <c r="N4" s="758" t="s">
        <v>180</v>
      </c>
      <c r="O4" s="759" t="s">
        <v>181</v>
      </c>
      <c r="P4" s="758" t="s">
        <v>180</v>
      </c>
      <c r="Q4" s="759" t="s">
        <v>181</v>
      </c>
      <c r="R4" s="758" t="s">
        <v>180</v>
      </c>
      <c r="S4" s="759" t="s">
        <v>181</v>
      </c>
      <c r="T4" s="758" t="s">
        <v>180</v>
      </c>
      <c r="U4" s="759" t="s">
        <v>181</v>
      </c>
      <c r="V4" s="758" t="s">
        <v>180</v>
      </c>
      <c r="W4" s="759" t="s">
        <v>181</v>
      </c>
      <c r="X4" s="758" t="s">
        <v>180</v>
      </c>
      <c r="Y4" s="759" t="s">
        <v>181</v>
      </c>
      <c r="Z4" s="758" t="s">
        <v>180</v>
      </c>
      <c r="AA4" s="759" t="s">
        <v>181</v>
      </c>
      <c r="AB4" s="758" t="s">
        <v>180</v>
      </c>
      <c r="AC4" s="759" t="s">
        <v>181</v>
      </c>
      <c r="AD4" s="758" t="s">
        <v>180</v>
      </c>
      <c r="AE4" s="759" t="s">
        <v>181</v>
      </c>
      <c r="AF4" s="758" t="s">
        <v>180</v>
      </c>
      <c r="AG4" s="759" t="s">
        <v>181</v>
      </c>
      <c r="AH4" s="758" t="s">
        <v>180</v>
      </c>
      <c r="AI4" s="759" t="s">
        <v>181</v>
      </c>
      <c r="AJ4" s="758" t="s">
        <v>180</v>
      </c>
      <c r="AK4" s="759" t="s">
        <v>181</v>
      </c>
      <c r="AL4" s="758" t="s">
        <v>180</v>
      </c>
      <c r="AM4" s="759" t="s">
        <v>181</v>
      </c>
      <c r="AN4" s="758" t="s">
        <v>180</v>
      </c>
      <c r="AO4" s="759" t="s">
        <v>181</v>
      </c>
      <c r="AP4" s="758" t="s">
        <v>180</v>
      </c>
      <c r="AQ4" s="759" t="s">
        <v>181</v>
      </c>
      <c r="AR4" s="758" t="s">
        <v>180</v>
      </c>
      <c r="AS4" s="759" t="s">
        <v>181</v>
      </c>
      <c r="AT4" s="758" t="s">
        <v>180</v>
      </c>
      <c r="AU4" s="759" t="s">
        <v>181</v>
      </c>
      <c r="AV4" s="758" t="s">
        <v>180</v>
      </c>
      <c r="AW4" s="759" t="s">
        <v>181</v>
      </c>
      <c r="AX4" s="758" t="s">
        <v>180</v>
      </c>
      <c r="AY4" s="759" t="s">
        <v>181</v>
      </c>
      <c r="AZ4" s="758" t="s">
        <v>180</v>
      </c>
      <c r="BA4" s="759" t="s">
        <v>181</v>
      </c>
    </row>
    <row r="5" spans="1:53" s="750" customFormat="1" ht="13.5" x14ac:dyDescent="0.25">
      <c r="A5" s="360" t="s">
        <v>5</v>
      </c>
      <c r="B5" s="501">
        <v>9873</v>
      </c>
      <c r="C5" s="502">
        <v>22991</v>
      </c>
      <c r="D5" s="501"/>
      <c r="E5" s="502"/>
      <c r="F5" s="501">
        <v>668</v>
      </c>
      <c r="G5" s="502">
        <v>4226</v>
      </c>
      <c r="H5" s="501">
        <v>889</v>
      </c>
      <c r="I5" s="502">
        <v>5686</v>
      </c>
      <c r="J5" s="501"/>
      <c r="K5" s="502"/>
      <c r="L5" s="501"/>
      <c r="M5" s="502"/>
      <c r="N5" s="501"/>
      <c r="O5" s="502"/>
      <c r="P5" s="501">
        <v>1027</v>
      </c>
      <c r="Q5" s="502">
        <v>412</v>
      </c>
      <c r="R5" s="501"/>
      <c r="S5" s="502"/>
      <c r="T5" s="501">
        <v>674</v>
      </c>
      <c r="U5" s="502">
        <v>1844</v>
      </c>
      <c r="V5" s="16">
        <v>2555</v>
      </c>
      <c r="W5" s="502">
        <v>4118</v>
      </c>
      <c r="X5" s="501">
        <v>3789</v>
      </c>
      <c r="Y5" s="502">
        <v>13735</v>
      </c>
      <c r="Z5" s="501"/>
      <c r="AA5" s="756">
        <v>-6</v>
      </c>
      <c r="AB5" s="37">
        <v>0</v>
      </c>
      <c r="AC5" s="230">
        <v>0</v>
      </c>
      <c r="AD5" s="501">
        <v>42</v>
      </c>
      <c r="AE5" s="502">
        <v>2473</v>
      </c>
      <c r="AF5" s="501">
        <v>16936</v>
      </c>
      <c r="AG5" s="501">
        <v>22921</v>
      </c>
      <c r="AH5" s="501">
        <v>37</v>
      </c>
      <c r="AI5" s="502">
        <v>3672</v>
      </c>
      <c r="AJ5" s="501"/>
      <c r="AK5" s="502">
        <v>148</v>
      </c>
      <c r="AL5" s="501"/>
      <c r="AM5" s="502"/>
      <c r="AN5" s="746">
        <v>16238</v>
      </c>
      <c r="AO5" s="747">
        <v>99420</v>
      </c>
      <c r="AP5" s="501"/>
      <c r="AQ5" s="502"/>
      <c r="AR5" s="501">
        <v>28</v>
      </c>
      <c r="AS5" s="502">
        <v>98</v>
      </c>
      <c r="AT5" s="501">
        <v>61</v>
      </c>
      <c r="AU5" s="502">
        <v>3618</v>
      </c>
      <c r="AV5" s="500">
        <f t="shared" ref="AV5:AV14" si="0">SUM(B5+D5+F5+H5+J5+L5+N5+P5+R5+T5+V5+X5+Z5+P5+AD5+AF5+AH5+AJ5+AL5+AN5+AP5+AR5+AT5)</f>
        <v>53844</v>
      </c>
      <c r="AW5" s="757">
        <f t="shared" ref="AW5:AW14" si="1">SUM(C5+E5+G5+I5+K5+M5+O5+Q5+S5+U5+W5+Y5+AA5+Q5+AE5+AG5+AI5+AK5+AM5+AO5+AQ5+AS5+AU5)</f>
        <v>185768</v>
      </c>
      <c r="AX5" s="501">
        <v>523589</v>
      </c>
      <c r="AY5" s="502">
        <v>1505378</v>
      </c>
      <c r="AZ5" s="500">
        <f t="shared" ref="AZ5:AZ14" si="2">AV5+AX5</f>
        <v>577433</v>
      </c>
      <c r="BA5" s="757">
        <f t="shared" ref="BA5:BA14" si="3">AW5+AY5</f>
        <v>1691146</v>
      </c>
    </row>
    <row r="6" spans="1:53" s="750" customFormat="1" ht="13.5" x14ac:dyDescent="0.25">
      <c r="A6" s="360" t="s">
        <v>6</v>
      </c>
      <c r="B6" s="11">
        <v>1224</v>
      </c>
      <c r="C6" s="15">
        <v>3114</v>
      </c>
      <c r="D6" s="31">
        <v>310</v>
      </c>
      <c r="E6" s="33">
        <v>860</v>
      </c>
      <c r="F6" s="31"/>
      <c r="G6" s="33">
        <v>1</v>
      </c>
      <c r="H6" s="31">
        <v>4072744</v>
      </c>
      <c r="I6" s="33">
        <v>4076807</v>
      </c>
      <c r="J6" s="31"/>
      <c r="K6" s="33"/>
      <c r="L6" s="31">
        <v>62621</v>
      </c>
      <c r="M6" s="33">
        <v>1386789</v>
      </c>
      <c r="N6" s="31">
        <v>1336</v>
      </c>
      <c r="O6" s="33">
        <v>4136</v>
      </c>
      <c r="P6" s="31"/>
      <c r="Q6" s="33"/>
      <c r="R6" s="31">
        <v>41</v>
      </c>
      <c r="S6" s="33">
        <v>41</v>
      </c>
      <c r="T6" s="31"/>
      <c r="U6" s="33">
        <v>91</v>
      </c>
      <c r="V6" s="698">
        <v>4603383</v>
      </c>
      <c r="W6" s="33">
        <v>8676330</v>
      </c>
      <c r="X6" s="31">
        <v>46274</v>
      </c>
      <c r="Y6" s="33">
        <v>130104</v>
      </c>
      <c r="Z6" s="751">
        <v>4634</v>
      </c>
      <c r="AA6" s="752">
        <v>16926</v>
      </c>
      <c r="AB6" s="31">
        <v>194678</v>
      </c>
      <c r="AC6" s="33">
        <v>875983</v>
      </c>
      <c r="AD6" s="31">
        <v>66094</v>
      </c>
      <c r="AE6" s="33">
        <v>90314</v>
      </c>
      <c r="AF6" s="31">
        <v>43291</v>
      </c>
      <c r="AG6" s="31">
        <v>143436</v>
      </c>
      <c r="AH6" s="31">
        <v>15546</v>
      </c>
      <c r="AI6" s="33">
        <v>73426</v>
      </c>
      <c r="AJ6" s="31"/>
      <c r="AK6" s="33"/>
      <c r="AL6" s="31"/>
      <c r="AM6" s="33"/>
      <c r="AN6" s="748">
        <v>261330</v>
      </c>
      <c r="AO6" s="749">
        <v>543381</v>
      </c>
      <c r="AP6" s="753"/>
      <c r="AQ6" s="754"/>
      <c r="AR6" s="29">
        <v>126297</v>
      </c>
      <c r="AS6" s="30">
        <v>357688</v>
      </c>
      <c r="AT6" s="31">
        <v>2</v>
      </c>
      <c r="AU6" s="33">
        <v>128</v>
      </c>
      <c r="AV6" s="14">
        <f t="shared" si="0"/>
        <v>9305127</v>
      </c>
      <c r="AW6" s="331">
        <f t="shared" si="1"/>
        <v>15503572</v>
      </c>
      <c r="AX6" s="29">
        <v>8556</v>
      </c>
      <c r="AY6" s="30">
        <v>12636</v>
      </c>
      <c r="AZ6" s="14">
        <f t="shared" si="2"/>
        <v>9313683</v>
      </c>
      <c r="BA6" s="331">
        <f t="shared" si="3"/>
        <v>15516208</v>
      </c>
    </row>
    <row r="7" spans="1:53" s="750" customFormat="1" ht="13.5" x14ac:dyDescent="0.25">
      <c r="A7" s="360" t="s">
        <v>7</v>
      </c>
      <c r="B7" s="11">
        <v>313581</v>
      </c>
      <c r="C7" s="15">
        <v>662785</v>
      </c>
      <c r="D7" s="31"/>
      <c r="E7" s="33"/>
      <c r="F7" s="31"/>
      <c r="G7" s="33"/>
      <c r="H7" s="31">
        <v>2917343</v>
      </c>
      <c r="I7" s="33">
        <v>7848820</v>
      </c>
      <c r="J7" s="31"/>
      <c r="K7" s="33"/>
      <c r="L7" s="31"/>
      <c r="M7" s="33"/>
      <c r="N7" s="31">
        <v>29554</v>
      </c>
      <c r="O7" s="33">
        <v>51457</v>
      </c>
      <c r="P7" s="31"/>
      <c r="Q7" s="33"/>
      <c r="R7" s="31"/>
      <c r="S7" s="33"/>
      <c r="T7" s="31">
        <v>91</v>
      </c>
      <c r="U7" s="33">
        <v>0</v>
      </c>
      <c r="V7" s="698">
        <v>283807</v>
      </c>
      <c r="W7" s="33">
        <v>600615</v>
      </c>
      <c r="X7" s="31">
        <v>1959</v>
      </c>
      <c r="Y7" s="33">
        <v>6669</v>
      </c>
      <c r="Z7" s="751"/>
      <c r="AA7" s="752"/>
      <c r="AB7" s="31"/>
      <c r="AC7" s="33">
        <v>0</v>
      </c>
      <c r="AD7" s="31">
        <v>385429</v>
      </c>
      <c r="AE7" s="33">
        <v>563444</v>
      </c>
      <c r="AF7" s="31"/>
      <c r="AG7" s="31"/>
      <c r="AH7" s="31">
        <v>8805</v>
      </c>
      <c r="AI7" s="33">
        <v>13989</v>
      </c>
      <c r="AJ7" s="31"/>
      <c r="AK7" s="33"/>
      <c r="AL7" s="31"/>
      <c r="AM7" s="33"/>
      <c r="AN7" s="748">
        <v>85194</v>
      </c>
      <c r="AO7" s="749">
        <v>103009</v>
      </c>
      <c r="AP7" s="753">
        <v>222117</v>
      </c>
      <c r="AQ7" s="754">
        <v>680461</v>
      </c>
      <c r="AR7" s="29">
        <v>0</v>
      </c>
      <c r="AS7" s="30">
        <v>0</v>
      </c>
      <c r="AT7" s="31"/>
      <c r="AU7" s="33">
        <v>185</v>
      </c>
      <c r="AV7" s="14">
        <f t="shared" si="0"/>
        <v>4247880</v>
      </c>
      <c r="AW7" s="331">
        <f t="shared" si="1"/>
        <v>10531434</v>
      </c>
      <c r="AX7" s="29">
        <v>1842</v>
      </c>
      <c r="AY7" s="30">
        <v>5816</v>
      </c>
      <c r="AZ7" s="14">
        <f t="shared" si="2"/>
        <v>4249722</v>
      </c>
      <c r="BA7" s="331">
        <f t="shared" si="3"/>
        <v>10537250</v>
      </c>
    </row>
    <row r="8" spans="1:53" s="750" customFormat="1" ht="13.5" x14ac:dyDescent="0.25">
      <c r="A8" s="360" t="s">
        <v>8</v>
      </c>
      <c r="B8" s="11">
        <v>210457</v>
      </c>
      <c r="C8" s="15">
        <v>870853</v>
      </c>
      <c r="D8" s="31">
        <v>11856</v>
      </c>
      <c r="E8" s="33">
        <v>17530</v>
      </c>
      <c r="F8" s="31">
        <v>84011</v>
      </c>
      <c r="G8" s="33">
        <v>206252</v>
      </c>
      <c r="H8" s="31">
        <v>764117</v>
      </c>
      <c r="I8" s="33">
        <v>2303227</v>
      </c>
      <c r="J8" s="31"/>
      <c r="K8" s="33"/>
      <c r="L8" s="31">
        <v>384</v>
      </c>
      <c r="M8" s="33">
        <v>386</v>
      </c>
      <c r="N8" s="31">
        <v>2030928</v>
      </c>
      <c r="O8" s="33">
        <v>8836744</v>
      </c>
      <c r="P8" s="31">
        <v>18673</v>
      </c>
      <c r="Q8" s="33">
        <v>55902</v>
      </c>
      <c r="R8" s="31">
        <v>341427</v>
      </c>
      <c r="S8" s="33">
        <v>1146430</v>
      </c>
      <c r="T8" s="31">
        <v>20981</v>
      </c>
      <c r="U8" s="33">
        <v>91959</v>
      </c>
      <c r="V8" s="698">
        <v>203712</v>
      </c>
      <c r="W8" s="33">
        <v>524646</v>
      </c>
      <c r="X8" s="31">
        <v>138418</v>
      </c>
      <c r="Y8" s="33">
        <v>344696</v>
      </c>
      <c r="Z8" s="751"/>
      <c r="AA8" s="752">
        <v>1472</v>
      </c>
      <c r="AB8" s="31">
        <v>11690</v>
      </c>
      <c r="AC8" s="33">
        <v>28885</v>
      </c>
      <c r="AD8" s="31">
        <v>400523</v>
      </c>
      <c r="AE8" s="33">
        <v>985571</v>
      </c>
      <c r="AF8" s="31">
        <v>106165</v>
      </c>
      <c r="AG8" s="31">
        <v>348343</v>
      </c>
      <c r="AH8" s="31">
        <v>189378</v>
      </c>
      <c r="AI8" s="33">
        <v>358078</v>
      </c>
      <c r="AJ8" s="31">
        <v>792</v>
      </c>
      <c r="AK8" s="33">
        <v>7044</v>
      </c>
      <c r="AL8" s="31"/>
      <c r="AM8" s="33"/>
      <c r="AN8" s="748">
        <v>115417</v>
      </c>
      <c r="AO8" s="749">
        <v>564811</v>
      </c>
      <c r="AP8" s="753">
        <v>148141</v>
      </c>
      <c r="AQ8" s="754">
        <v>534445</v>
      </c>
      <c r="AR8" s="29">
        <v>5056</v>
      </c>
      <c r="AS8" s="30">
        <v>31053</v>
      </c>
      <c r="AT8" s="31">
        <v>672</v>
      </c>
      <c r="AU8" s="33">
        <v>3784</v>
      </c>
      <c r="AV8" s="14">
        <f t="shared" si="0"/>
        <v>4809781</v>
      </c>
      <c r="AW8" s="331">
        <f t="shared" si="1"/>
        <v>17289128</v>
      </c>
      <c r="AX8" s="29">
        <v>4564</v>
      </c>
      <c r="AY8" s="30">
        <v>9661</v>
      </c>
      <c r="AZ8" s="14">
        <f t="shared" si="2"/>
        <v>4814345</v>
      </c>
      <c r="BA8" s="331">
        <f t="shared" si="3"/>
        <v>17298789</v>
      </c>
    </row>
    <row r="9" spans="1:53" s="750" customFormat="1" ht="13.5" x14ac:dyDescent="0.25">
      <c r="A9" s="360" t="s">
        <v>9</v>
      </c>
      <c r="B9" s="11"/>
      <c r="C9" s="15"/>
      <c r="D9" s="31"/>
      <c r="E9" s="33"/>
      <c r="F9" s="31"/>
      <c r="G9" s="33"/>
      <c r="H9" s="31">
        <v>421876</v>
      </c>
      <c r="I9" s="33">
        <v>775362</v>
      </c>
      <c r="J9" s="31"/>
      <c r="K9" s="33"/>
      <c r="L9" s="31"/>
      <c r="M9" s="33"/>
      <c r="N9" s="31"/>
      <c r="O9" s="33"/>
      <c r="P9" s="31"/>
      <c r="Q9" s="33"/>
      <c r="R9" s="31"/>
      <c r="S9" s="33"/>
      <c r="T9" s="31"/>
      <c r="U9" s="33"/>
      <c r="V9" s="698">
        <v>162238</v>
      </c>
      <c r="W9" s="33">
        <v>412784</v>
      </c>
      <c r="X9" s="31"/>
      <c r="Y9" s="33"/>
      <c r="Z9" s="751"/>
      <c r="AA9" s="752"/>
      <c r="AB9" s="31"/>
      <c r="AC9" s="33">
        <v>0</v>
      </c>
      <c r="AD9" s="31">
        <v>361291</v>
      </c>
      <c r="AE9" s="33">
        <v>548748</v>
      </c>
      <c r="AF9" s="31"/>
      <c r="AG9" s="33"/>
      <c r="AH9" s="31"/>
      <c r="AI9" s="33"/>
      <c r="AJ9" s="31"/>
      <c r="AK9" s="33"/>
      <c r="AL9" s="31"/>
      <c r="AM9" s="33"/>
      <c r="AN9" s="748"/>
      <c r="AO9" s="749"/>
      <c r="AP9" s="753"/>
      <c r="AQ9" s="754"/>
      <c r="AR9" s="29">
        <v>0</v>
      </c>
      <c r="AS9" s="30">
        <v>0</v>
      </c>
      <c r="AT9" s="31"/>
      <c r="AU9" s="33"/>
      <c r="AV9" s="14">
        <f t="shared" si="0"/>
        <v>945405</v>
      </c>
      <c r="AW9" s="331">
        <f t="shared" si="1"/>
        <v>1736894</v>
      </c>
      <c r="AX9" s="29"/>
      <c r="AY9" s="30"/>
      <c r="AZ9" s="14">
        <f t="shared" si="2"/>
        <v>945405</v>
      </c>
      <c r="BA9" s="331">
        <f t="shared" si="3"/>
        <v>1736894</v>
      </c>
    </row>
    <row r="10" spans="1:53" s="750" customFormat="1" ht="13.5" x14ac:dyDescent="0.25">
      <c r="A10" s="360" t="s">
        <v>10</v>
      </c>
      <c r="B10" s="11">
        <v>377863</v>
      </c>
      <c r="C10" s="15">
        <v>1302400</v>
      </c>
      <c r="D10" s="31">
        <v>17532</v>
      </c>
      <c r="E10" s="33">
        <v>36159</v>
      </c>
      <c r="F10" s="31">
        <v>32843</v>
      </c>
      <c r="G10" s="33">
        <v>150683</v>
      </c>
      <c r="H10" s="31">
        <v>5160391</v>
      </c>
      <c r="I10" s="33">
        <v>23105517</v>
      </c>
      <c r="J10" s="31">
        <v>18770</v>
      </c>
      <c r="K10" s="33">
        <v>62699</v>
      </c>
      <c r="L10" s="31">
        <v>5505</v>
      </c>
      <c r="M10" s="33">
        <v>8166</v>
      </c>
      <c r="N10" s="31">
        <v>2487087</v>
      </c>
      <c r="O10" s="33">
        <v>9244239</v>
      </c>
      <c r="P10" s="31">
        <v>11407</v>
      </c>
      <c r="Q10" s="33">
        <v>138377</v>
      </c>
      <c r="R10" s="31">
        <v>28389</v>
      </c>
      <c r="S10" s="33">
        <v>711877</v>
      </c>
      <c r="T10" s="31">
        <v>182849</v>
      </c>
      <c r="U10" s="33">
        <v>561224</v>
      </c>
      <c r="V10" s="698">
        <v>7183652</v>
      </c>
      <c r="W10" s="33">
        <v>21951552</v>
      </c>
      <c r="X10" s="31">
        <v>494020</v>
      </c>
      <c r="Y10" s="33">
        <v>2573108</v>
      </c>
      <c r="Z10" s="751">
        <v>52934</v>
      </c>
      <c r="AA10" s="752">
        <v>188698</v>
      </c>
      <c r="AB10" s="31">
        <v>153294</v>
      </c>
      <c r="AC10" s="33">
        <v>2848314</v>
      </c>
      <c r="AD10" s="34">
        <v>1464744</v>
      </c>
      <c r="AE10" s="35">
        <v>6150882</v>
      </c>
      <c r="AF10" s="31">
        <v>1168502</v>
      </c>
      <c r="AG10" s="33">
        <v>2679413</v>
      </c>
      <c r="AH10" s="31">
        <v>125867</v>
      </c>
      <c r="AI10" s="33">
        <v>293945</v>
      </c>
      <c r="AJ10" s="31">
        <v>273015</v>
      </c>
      <c r="AK10" s="33">
        <v>1237495</v>
      </c>
      <c r="AL10" s="31"/>
      <c r="AM10" s="33"/>
      <c r="AN10" s="748">
        <v>1133129</v>
      </c>
      <c r="AO10" s="749">
        <v>3219714</v>
      </c>
      <c r="AP10" s="753">
        <v>1190286</v>
      </c>
      <c r="AQ10" s="754">
        <v>5179444</v>
      </c>
      <c r="AR10" s="29">
        <v>5417</v>
      </c>
      <c r="AS10" s="30">
        <v>31512</v>
      </c>
      <c r="AT10" s="31">
        <v>18651</v>
      </c>
      <c r="AU10" s="33">
        <v>108521</v>
      </c>
      <c r="AV10" s="14">
        <f t="shared" si="0"/>
        <v>21444260</v>
      </c>
      <c r="AW10" s="331">
        <f t="shared" si="1"/>
        <v>79074002</v>
      </c>
      <c r="AX10" s="31">
        <v>27909800</v>
      </c>
      <c r="AY10" s="33">
        <v>59008841</v>
      </c>
      <c r="AZ10" s="14">
        <f t="shared" si="2"/>
        <v>49354060</v>
      </c>
      <c r="BA10" s="331">
        <f t="shared" si="3"/>
        <v>138082843</v>
      </c>
    </row>
    <row r="11" spans="1:53" s="750" customFormat="1" thickBot="1" x14ac:dyDescent="0.3">
      <c r="A11" s="360" t="s">
        <v>11</v>
      </c>
      <c r="B11" s="781"/>
      <c r="C11" s="782"/>
      <c r="D11" s="785"/>
      <c r="E11" s="786"/>
      <c r="F11" s="785"/>
      <c r="G11" s="786"/>
      <c r="H11" s="785">
        <v>9020</v>
      </c>
      <c r="I11" s="786">
        <v>13043</v>
      </c>
      <c r="J11" s="785"/>
      <c r="K11" s="786"/>
      <c r="L11" s="785"/>
      <c r="M11" s="786"/>
      <c r="N11" s="785"/>
      <c r="O11" s="786"/>
      <c r="P11" s="785"/>
      <c r="Q11" s="786"/>
      <c r="R11" s="785"/>
      <c r="S11" s="786"/>
      <c r="T11" s="785"/>
      <c r="U11" s="786"/>
      <c r="V11" s="755"/>
      <c r="W11" s="786"/>
      <c r="X11" s="785"/>
      <c r="Y11" s="786"/>
      <c r="Z11" s="787"/>
      <c r="AA11" s="788"/>
      <c r="AB11" s="785"/>
      <c r="AC11" s="786"/>
      <c r="AD11" s="669"/>
      <c r="AE11" s="670"/>
      <c r="AF11" s="785"/>
      <c r="AG11" s="786"/>
      <c r="AH11" s="785"/>
      <c r="AI11" s="786"/>
      <c r="AJ11" s="785"/>
      <c r="AK11" s="786"/>
      <c r="AL11" s="785"/>
      <c r="AM11" s="786"/>
      <c r="AN11" s="789"/>
      <c r="AO11" s="790"/>
      <c r="AP11" s="791"/>
      <c r="AQ11" s="792"/>
      <c r="AR11" s="793">
        <v>0</v>
      </c>
      <c r="AS11" s="794"/>
      <c r="AT11" s="785"/>
      <c r="AU11" s="786"/>
      <c r="AV11" s="681">
        <f t="shared" si="0"/>
        <v>9020</v>
      </c>
      <c r="AW11" s="668">
        <f t="shared" si="1"/>
        <v>13043</v>
      </c>
      <c r="AX11" s="785"/>
      <c r="AY11" s="786"/>
      <c r="AZ11" s="681">
        <f t="shared" si="2"/>
        <v>9020</v>
      </c>
      <c r="BA11" s="668">
        <f t="shared" si="3"/>
        <v>13043</v>
      </c>
    </row>
    <row r="12" spans="1:53" s="410" customFormat="1" ht="15" thickBot="1" x14ac:dyDescent="0.35">
      <c r="A12" s="760" t="s">
        <v>12</v>
      </c>
      <c r="B12" s="655">
        <f t="shared" ref="B12:AG12" si="4">SUM(B5:B11)</f>
        <v>912998</v>
      </c>
      <c r="C12" s="656">
        <f t="shared" si="4"/>
        <v>2862143</v>
      </c>
      <c r="D12" s="655">
        <f t="shared" si="4"/>
        <v>29698</v>
      </c>
      <c r="E12" s="656">
        <f t="shared" si="4"/>
        <v>54549</v>
      </c>
      <c r="F12" s="655">
        <f t="shared" si="4"/>
        <v>117522</v>
      </c>
      <c r="G12" s="656">
        <f t="shared" si="4"/>
        <v>361162</v>
      </c>
      <c r="H12" s="655">
        <f t="shared" si="4"/>
        <v>13346380</v>
      </c>
      <c r="I12" s="656">
        <f t="shared" si="4"/>
        <v>38128462</v>
      </c>
      <c r="J12" s="655">
        <f t="shared" si="4"/>
        <v>18770</v>
      </c>
      <c r="K12" s="656">
        <f t="shared" si="4"/>
        <v>62699</v>
      </c>
      <c r="L12" s="655">
        <f t="shared" si="4"/>
        <v>68510</v>
      </c>
      <c r="M12" s="656">
        <f t="shared" si="4"/>
        <v>1395341</v>
      </c>
      <c r="N12" s="655">
        <f t="shared" si="4"/>
        <v>4548905</v>
      </c>
      <c r="O12" s="656">
        <f t="shared" si="4"/>
        <v>18136576</v>
      </c>
      <c r="P12" s="655">
        <f>SUM(P5:P11)</f>
        <v>31107</v>
      </c>
      <c r="Q12" s="656">
        <f>SUM(Q5:Q11)</f>
        <v>194691</v>
      </c>
      <c r="R12" s="655">
        <f t="shared" si="4"/>
        <v>369857</v>
      </c>
      <c r="S12" s="656">
        <f t="shared" si="4"/>
        <v>1858348</v>
      </c>
      <c r="T12" s="655">
        <f t="shared" si="4"/>
        <v>204595</v>
      </c>
      <c r="U12" s="656">
        <f t="shared" si="4"/>
        <v>655118</v>
      </c>
      <c r="V12" s="655">
        <f t="shared" si="4"/>
        <v>12439347</v>
      </c>
      <c r="W12" s="656">
        <f t="shared" si="4"/>
        <v>32170045</v>
      </c>
      <c r="X12" s="655">
        <f t="shared" si="4"/>
        <v>684460</v>
      </c>
      <c r="Y12" s="656">
        <f t="shared" si="4"/>
        <v>3068312</v>
      </c>
      <c r="Z12" s="655">
        <f t="shared" si="4"/>
        <v>57568</v>
      </c>
      <c r="AA12" s="783">
        <f t="shared" si="4"/>
        <v>207090</v>
      </c>
      <c r="AB12" s="655">
        <f t="shared" si="4"/>
        <v>359662</v>
      </c>
      <c r="AC12" s="656">
        <f t="shared" si="4"/>
        <v>3753182</v>
      </c>
      <c r="AD12" s="655">
        <f t="shared" si="4"/>
        <v>2678123</v>
      </c>
      <c r="AE12" s="656">
        <f t="shared" si="4"/>
        <v>8341432</v>
      </c>
      <c r="AF12" s="655">
        <f t="shared" si="4"/>
        <v>1334894</v>
      </c>
      <c r="AG12" s="656">
        <f t="shared" si="4"/>
        <v>3194113</v>
      </c>
      <c r="AH12" s="655">
        <f t="shared" ref="AH12:AU12" si="5">SUM(AH5:AH11)</f>
        <v>339633</v>
      </c>
      <c r="AI12" s="656">
        <f t="shared" si="5"/>
        <v>743110</v>
      </c>
      <c r="AJ12" s="655">
        <f t="shared" si="5"/>
        <v>273807</v>
      </c>
      <c r="AK12" s="656">
        <f t="shared" si="5"/>
        <v>1244687</v>
      </c>
      <c r="AL12" s="655">
        <f t="shared" si="5"/>
        <v>0</v>
      </c>
      <c r="AM12" s="656">
        <f t="shared" si="5"/>
        <v>0</v>
      </c>
      <c r="AN12" s="655">
        <f t="shared" si="5"/>
        <v>1611308</v>
      </c>
      <c r="AO12" s="656">
        <f t="shared" si="5"/>
        <v>4530335</v>
      </c>
      <c r="AP12" s="655">
        <f t="shared" si="5"/>
        <v>1560544</v>
      </c>
      <c r="AQ12" s="656">
        <f t="shared" si="5"/>
        <v>6394350</v>
      </c>
      <c r="AR12" s="655">
        <f t="shared" si="5"/>
        <v>136798</v>
      </c>
      <c r="AS12" s="656">
        <f t="shared" si="5"/>
        <v>420351</v>
      </c>
      <c r="AT12" s="655">
        <f t="shared" si="5"/>
        <v>19386</v>
      </c>
      <c r="AU12" s="656">
        <f t="shared" si="5"/>
        <v>116236</v>
      </c>
      <c r="AV12" s="657">
        <f t="shared" si="0"/>
        <v>40815317</v>
      </c>
      <c r="AW12" s="784">
        <f t="shared" si="1"/>
        <v>124333841</v>
      </c>
      <c r="AX12" s="661">
        <f>SUM(AX5:AX11)</f>
        <v>28448351</v>
      </c>
      <c r="AY12" s="662">
        <f>SUM(AY5:AY11)</f>
        <v>60542332</v>
      </c>
      <c r="AZ12" s="657">
        <f t="shared" si="2"/>
        <v>69263668</v>
      </c>
      <c r="BA12" s="784">
        <f t="shared" si="3"/>
        <v>184876173</v>
      </c>
    </row>
    <row r="13" spans="1:53" ht="15" thickBot="1" x14ac:dyDescent="0.35">
      <c r="A13" s="354" t="s">
        <v>13</v>
      </c>
      <c r="B13" s="795"/>
      <c r="C13" s="796"/>
      <c r="D13" s="797"/>
      <c r="E13" s="798"/>
      <c r="F13" s="797"/>
      <c r="G13" s="798"/>
      <c r="H13" s="797"/>
      <c r="I13" s="798"/>
      <c r="J13" s="799"/>
      <c r="K13" s="800"/>
      <c r="L13" s="797"/>
      <c r="M13" s="798"/>
      <c r="N13" s="797"/>
      <c r="O13" s="798"/>
      <c r="P13" s="797"/>
      <c r="Q13" s="798"/>
      <c r="R13" s="797"/>
      <c r="S13" s="798"/>
      <c r="T13" s="797">
        <v>0</v>
      </c>
      <c r="U13" s="798"/>
      <c r="V13" s="314"/>
      <c r="W13" s="798"/>
      <c r="X13" s="797"/>
      <c r="Y13" s="798"/>
      <c r="Z13" s="797"/>
      <c r="AA13" s="801"/>
      <c r="AB13" s="802"/>
      <c r="AC13" s="803"/>
      <c r="AD13" s="797"/>
      <c r="AE13" s="798"/>
      <c r="AF13" s="797"/>
      <c r="AG13" s="798"/>
      <c r="AH13" s="797"/>
      <c r="AI13" s="798"/>
      <c r="AJ13" s="797"/>
      <c r="AK13" s="798"/>
      <c r="AL13" s="799"/>
      <c r="AM13" s="800"/>
      <c r="AN13" s="804"/>
      <c r="AO13" s="805"/>
      <c r="AP13" s="806"/>
      <c r="AQ13" s="807"/>
      <c r="AR13" s="808">
        <v>0</v>
      </c>
      <c r="AS13" s="809"/>
      <c r="AT13" s="797"/>
      <c r="AU13" s="798"/>
      <c r="AV13" s="810">
        <f t="shared" si="0"/>
        <v>0</v>
      </c>
      <c r="AW13" s="811">
        <f t="shared" si="1"/>
        <v>0</v>
      </c>
      <c r="AX13" s="808"/>
      <c r="AY13" s="809"/>
      <c r="AZ13" s="810">
        <f t="shared" si="2"/>
        <v>0</v>
      </c>
      <c r="BA13" s="811">
        <f t="shared" si="3"/>
        <v>0</v>
      </c>
    </row>
    <row r="14" spans="1:53" s="410" customFormat="1" ht="15" thickBot="1" x14ac:dyDescent="0.35">
      <c r="A14" s="760" t="s">
        <v>14</v>
      </c>
      <c r="B14" s="655">
        <f t="shared" ref="B14:AG14" si="6">B12+B13</f>
        <v>912998</v>
      </c>
      <c r="C14" s="656">
        <f t="shared" si="6"/>
        <v>2862143</v>
      </c>
      <c r="D14" s="655">
        <f t="shared" si="6"/>
        <v>29698</v>
      </c>
      <c r="E14" s="656">
        <f t="shared" si="6"/>
        <v>54549</v>
      </c>
      <c r="F14" s="655">
        <f t="shared" si="6"/>
        <v>117522</v>
      </c>
      <c r="G14" s="656">
        <f t="shared" si="6"/>
        <v>361162</v>
      </c>
      <c r="H14" s="655">
        <f t="shared" si="6"/>
        <v>13346380</v>
      </c>
      <c r="I14" s="656">
        <f t="shared" si="6"/>
        <v>38128462</v>
      </c>
      <c r="J14" s="655">
        <f t="shared" si="6"/>
        <v>18770</v>
      </c>
      <c r="K14" s="656">
        <f t="shared" si="6"/>
        <v>62699</v>
      </c>
      <c r="L14" s="655">
        <f t="shared" si="6"/>
        <v>68510</v>
      </c>
      <c r="M14" s="656">
        <f t="shared" si="6"/>
        <v>1395341</v>
      </c>
      <c r="N14" s="655">
        <f t="shared" si="6"/>
        <v>4548905</v>
      </c>
      <c r="O14" s="656">
        <f t="shared" si="6"/>
        <v>18136576</v>
      </c>
      <c r="P14" s="655">
        <f>P12+P13</f>
        <v>31107</v>
      </c>
      <c r="Q14" s="656">
        <f>Q12+Q13</f>
        <v>194691</v>
      </c>
      <c r="R14" s="655">
        <f t="shared" si="6"/>
        <v>369857</v>
      </c>
      <c r="S14" s="656">
        <f t="shared" si="6"/>
        <v>1858348</v>
      </c>
      <c r="T14" s="655">
        <f t="shared" si="6"/>
        <v>204595</v>
      </c>
      <c r="U14" s="656">
        <f t="shared" si="6"/>
        <v>655118</v>
      </c>
      <c r="V14" s="655">
        <f t="shared" si="6"/>
        <v>12439347</v>
      </c>
      <c r="W14" s="656">
        <f t="shared" si="6"/>
        <v>32170045</v>
      </c>
      <c r="X14" s="655">
        <f t="shared" si="6"/>
        <v>684460</v>
      </c>
      <c r="Y14" s="656">
        <f t="shared" si="6"/>
        <v>3068312</v>
      </c>
      <c r="Z14" s="655">
        <f t="shared" si="6"/>
        <v>57568</v>
      </c>
      <c r="AA14" s="783">
        <f t="shared" si="6"/>
        <v>207090</v>
      </c>
      <c r="AB14" s="655">
        <f t="shared" si="6"/>
        <v>359662</v>
      </c>
      <c r="AC14" s="656">
        <f t="shared" si="6"/>
        <v>3753182</v>
      </c>
      <c r="AD14" s="655">
        <f t="shared" si="6"/>
        <v>2678123</v>
      </c>
      <c r="AE14" s="656">
        <f t="shared" si="6"/>
        <v>8341432</v>
      </c>
      <c r="AF14" s="655">
        <f t="shared" si="6"/>
        <v>1334894</v>
      </c>
      <c r="AG14" s="656">
        <f t="shared" si="6"/>
        <v>3194113</v>
      </c>
      <c r="AH14" s="655">
        <f t="shared" ref="AH14:AU14" si="7">AH12+AH13</f>
        <v>339633</v>
      </c>
      <c r="AI14" s="656">
        <f t="shared" si="7"/>
        <v>743110</v>
      </c>
      <c r="AJ14" s="655">
        <f t="shared" si="7"/>
        <v>273807</v>
      </c>
      <c r="AK14" s="656">
        <f t="shared" si="7"/>
        <v>1244687</v>
      </c>
      <c r="AL14" s="655">
        <f t="shared" si="7"/>
        <v>0</v>
      </c>
      <c r="AM14" s="656">
        <f t="shared" si="7"/>
        <v>0</v>
      </c>
      <c r="AN14" s="655">
        <f t="shared" si="7"/>
        <v>1611308</v>
      </c>
      <c r="AO14" s="656">
        <f t="shared" si="7"/>
        <v>4530335</v>
      </c>
      <c r="AP14" s="655">
        <f t="shared" si="7"/>
        <v>1560544</v>
      </c>
      <c r="AQ14" s="656">
        <f t="shared" si="7"/>
        <v>6394350</v>
      </c>
      <c r="AR14" s="655">
        <f t="shared" si="7"/>
        <v>136798</v>
      </c>
      <c r="AS14" s="656">
        <f t="shared" si="7"/>
        <v>420351</v>
      </c>
      <c r="AT14" s="655">
        <f t="shared" si="7"/>
        <v>19386</v>
      </c>
      <c r="AU14" s="656">
        <f t="shared" si="7"/>
        <v>116236</v>
      </c>
      <c r="AV14" s="657">
        <f t="shared" si="0"/>
        <v>40815317</v>
      </c>
      <c r="AW14" s="784">
        <f t="shared" si="1"/>
        <v>124333841</v>
      </c>
      <c r="AX14" s="661">
        <f>AX12+AX13</f>
        <v>28448351</v>
      </c>
      <c r="AY14" s="662">
        <f>AY12+AY13</f>
        <v>60542332</v>
      </c>
      <c r="AZ14" s="657">
        <f t="shared" si="2"/>
        <v>69263668</v>
      </c>
      <c r="BA14" s="784">
        <f t="shared" si="3"/>
        <v>184876173</v>
      </c>
    </row>
  </sheetData>
  <mergeCells count="28">
    <mergeCell ref="P3:Q3"/>
    <mergeCell ref="A1:AZ1"/>
    <mergeCell ref="A2:AZ2"/>
    <mergeCell ref="A3:A4"/>
    <mergeCell ref="D3:E3"/>
    <mergeCell ref="H3:I3"/>
    <mergeCell ref="F3:G3"/>
    <mergeCell ref="J3:K3"/>
    <mergeCell ref="L3:M3"/>
    <mergeCell ref="N3:O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Z3:BA3"/>
    <mergeCell ref="AX3:AY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9"/>
  <sheetViews>
    <sheetView workbookViewId="0">
      <pane xSplit="1" topLeftCell="B1" activePane="topRight" state="frozen"/>
      <selection pane="topRight" activeCell="L10" sqref="L10"/>
    </sheetView>
    <sheetView workbookViewId="1">
      <selection sqref="A1:AZ1"/>
    </sheetView>
  </sheetViews>
  <sheetFormatPr defaultRowHeight="16.5" x14ac:dyDescent="0.3"/>
  <cols>
    <col min="1" max="1" width="20" style="67" bestFit="1" customWidth="1"/>
    <col min="2" max="2" width="11.42578125" style="67" bestFit="1" customWidth="1"/>
    <col min="3" max="3" width="12.42578125" style="67" bestFit="1" customWidth="1"/>
    <col min="4" max="4" width="11.42578125" style="67" bestFit="1" customWidth="1"/>
    <col min="5" max="5" width="12.42578125" style="67" bestFit="1" customWidth="1"/>
    <col min="6" max="6" width="11.42578125" style="67" bestFit="1" customWidth="1"/>
    <col min="7" max="7" width="12.42578125" style="67" bestFit="1" customWidth="1"/>
    <col min="8" max="8" width="11.42578125" style="67" bestFit="1" customWidth="1"/>
    <col min="9" max="9" width="12.42578125" style="67" bestFit="1" customWidth="1"/>
    <col min="10" max="10" width="11.42578125" style="67" bestFit="1" customWidth="1"/>
    <col min="11" max="11" width="12.42578125" style="67" bestFit="1" customWidth="1"/>
    <col min="12" max="12" width="11.42578125" style="67" bestFit="1" customWidth="1"/>
    <col min="13" max="13" width="12.42578125" style="67" bestFit="1" customWidth="1"/>
    <col min="14" max="14" width="11.42578125" style="67" bestFit="1" customWidth="1"/>
    <col min="15" max="15" width="12.42578125" style="67" bestFit="1" customWidth="1"/>
    <col min="16" max="16" width="11.42578125" style="67" bestFit="1" customWidth="1"/>
    <col min="17" max="17" width="12.42578125" style="67" bestFit="1" customWidth="1"/>
    <col min="18" max="18" width="11.42578125" style="67" bestFit="1" customWidth="1"/>
    <col min="19" max="19" width="12.42578125" style="67" bestFit="1" customWidth="1"/>
    <col min="20" max="20" width="11.42578125" style="67" bestFit="1" customWidth="1"/>
    <col min="21" max="21" width="12.42578125" style="67" bestFit="1" customWidth="1"/>
    <col min="22" max="22" width="11.42578125" style="67" bestFit="1" customWidth="1"/>
    <col min="23" max="23" width="12.42578125" style="67" bestFit="1" customWidth="1"/>
    <col min="24" max="24" width="11.42578125" style="67" bestFit="1" customWidth="1"/>
    <col min="25" max="25" width="12.42578125" style="67" bestFit="1" customWidth="1"/>
    <col min="26" max="26" width="11.42578125" style="67" bestFit="1" customWidth="1"/>
    <col min="27" max="27" width="12.42578125" style="67" bestFit="1" customWidth="1"/>
    <col min="28" max="28" width="11.42578125" style="67" bestFit="1" customWidth="1"/>
    <col min="29" max="29" width="12.42578125" style="67" bestFit="1" customWidth="1"/>
    <col min="30" max="30" width="11.42578125" style="67" bestFit="1" customWidth="1"/>
    <col min="31" max="31" width="12.42578125" style="67" bestFit="1" customWidth="1"/>
    <col min="32" max="32" width="11.42578125" style="67" bestFit="1" customWidth="1"/>
    <col min="33" max="33" width="12.42578125" style="67" bestFit="1" customWidth="1"/>
    <col min="34" max="34" width="11.42578125" style="67" bestFit="1" customWidth="1"/>
    <col min="35" max="35" width="12.42578125" style="67" bestFit="1" customWidth="1"/>
    <col min="36" max="36" width="11.42578125" style="67" bestFit="1" customWidth="1"/>
    <col min="37" max="37" width="12.42578125" style="67" bestFit="1" customWidth="1"/>
    <col min="38" max="38" width="11.42578125" style="67" bestFit="1" customWidth="1"/>
    <col min="39" max="39" width="12.42578125" style="67" bestFit="1" customWidth="1"/>
    <col min="40" max="40" width="11.42578125" style="67" bestFit="1" customWidth="1"/>
    <col min="41" max="41" width="12.42578125" style="67" bestFit="1" customWidth="1"/>
    <col min="42" max="42" width="11.42578125" style="67" bestFit="1" customWidth="1"/>
    <col min="43" max="43" width="12.42578125" style="67" bestFit="1" customWidth="1"/>
    <col min="44" max="44" width="11.42578125" style="67" bestFit="1" customWidth="1"/>
    <col min="45" max="45" width="12.42578125" style="67" bestFit="1" customWidth="1"/>
    <col min="46" max="46" width="11.42578125" style="67" bestFit="1" customWidth="1"/>
    <col min="47" max="47" width="12.42578125" style="67" bestFit="1" customWidth="1"/>
    <col min="48" max="48" width="11.42578125" style="67" bestFit="1" customWidth="1"/>
    <col min="49" max="49" width="12.42578125" style="67" bestFit="1" customWidth="1"/>
    <col min="50" max="50" width="11.42578125" style="67" bestFit="1" customWidth="1"/>
    <col min="51" max="51" width="12.42578125" style="67" bestFit="1" customWidth="1"/>
    <col min="52" max="52" width="11.42578125" style="67" bestFit="1" customWidth="1"/>
    <col min="53" max="53" width="12.42578125" style="67" bestFit="1" customWidth="1"/>
    <col min="54" max="16384" width="9.140625" style="67"/>
  </cols>
  <sheetData>
    <row r="1" spans="1:53" ht="17.25" x14ac:dyDescent="0.35">
      <c r="A1" s="1016" t="s">
        <v>257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1016"/>
      <c r="O1" s="1016"/>
      <c r="P1" s="1016"/>
      <c r="Q1" s="1016"/>
      <c r="R1" s="1016"/>
      <c r="S1" s="1016"/>
      <c r="T1" s="1016"/>
      <c r="U1" s="1016"/>
      <c r="V1" s="1016"/>
      <c r="W1" s="1016"/>
      <c r="X1" s="1016"/>
      <c r="Y1" s="1016"/>
      <c r="Z1" s="1016"/>
      <c r="AA1" s="1016"/>
      <c r="AB1" s="1016"/>
      <c r="AC1" s="1016"/>
      <c r="AD1" s="1016"/>
      <c r="AE1" s="1016"/>
      <c r="AF1" s="1016"/>
      <c r="AG1" s="1016"/>
      <c r="AH1" s="1016"/>
      <c r="AI1" s="1016"/>
      <c r="AJ1" s="1016"/>
      <c r="AK1" s="1016"/>
      <c r="AL1" s="1016"/>
      <c r="AM1" s="1016"/>
      <c r="AN1" s="1016"/>
      <c r="AO1" s="1016"/>
      <c r="AP1" s="1016"/>
      <c r="AQ1" s="1016"/>
      <c r="AR1" s="1016"/>
      <c r="AS1" s="1016"/>
      <c r="AT1" s="1016"/>
      <c r="AU1" s="1016"/>
      <c r="AV1" s="1016"/>
      <c r="AW1" s="1016"/>
      <c r="AX1" s="1016"/>
      <c r="AY1" s="1016"/>
      <c r="AZ1" s="1016"/>
    </row>
    <row r="2" spans="1:53" s="585" customFormat="1" ht="18" thickBot="1" x14ac:dyDescent="0.4">
      <c r="A2" s="1017" t="s">
        <v>153</v>
      </c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  <c r="V2" s="1017"/>
      <c r="W2" s="1017"/>
      <c r="X2" s="1017"/>
      <c r="Y2" s="1017"/>
      <c r="Z2" s="1017"/>
      <c r="AA2" s="1017"/>
      <c r="AB2" s="1017"/>
      <c r="AC2" s="1017"/>
      <c r="AD2" s="1017"/>
      <c r="AE2" s="1017"/>
      <c r="AF2" s="1017"/>
      <c r="AG2" s="1017"/>
      <c r="AH2" s="1017"/>
      <c r="AI2" s="1017"/>
      <c r="AJ2" s="1017"/>
      <c r="AK2" s="1017"/>
      <c r="AL2" s="1017"/>
      <c r="AM2" s="1017"/>
      <c r="AN2" s="1017"/>
      <c r="AO2" s="1017"/>
      <c r="AP2" s="1017"/>
      <c r="AQ2" s="1017"/>
      <c r="AR2" s="1017"/>
      <c r="AS2" s="1017"/>
      <c r="AT2" s="1017"/>
      <c r="AU2" s="1017"/>
      <c r="AV2" s="1017"/>
      <c r="AW2" s="1017"/>
      <c r="AX2" s="1017"/>
      <c r="AY2" s="1017"/>
      <c r="AZ2" s="1017"/>
    </row>
    <row r="3" spans="1:53" s="585" customFormat="1" ht="33" customHeight="1" thickBot="1" x14ac:dyDescent="0.35">
      <c r="A3" s="1018" t="s">
        <v>16</v>
      </c>
      <c r="B3" s="1011" t="s">
        <v>155</v>
      </c>
      <c r="C3" s="1012"/>
      <c r="D3" s="1011" t="s">
        <v>156</v>
      </c>
      <c r="E3" s="1012"/>
      <c r="F3" s="1011" t="s">
        <v>157</v>
      </c>
      <c r="G3" s="1012"/>
      <c r="H3" s="1011" t="s">
        <v>158</v>
      </c>
      <c r="I3" s="1012"/>
      <c r="J3" s="1011" t="s">
        <v>159</v>
      </c>
      <c r="K3" s="1012"/>
      <c r="L3" s="1011" t="s">
        <v>160</v>
      </c>
      <c r="M3" s="1012"/>
      <c r="N3" s="1011" t="s">
        <v>161</v>
      </c>
      <c r="O3" s="1012"/>
      <c r="P3" s="1011" t="s">
        <v>162</v>
      </c>
      <c r="Q3" s="1012"/>
      <c r="R3" s="1011" t="s">
        <v>163</v>
      </c>
      <c r="S3" s="1012"/>
      <c r="T3" s="1011" t="s">
        <v>164</v>
      </c>
      <c r="U3" s="1012"/>
      <c r="V3" s="1011" t="s">
        <v>165</v>
      </c>
      <c r="W3" s="1012"/>
      <c r="X3" s="1011" t="s">
        <v>166</v>
      </c>
      <c r="Y3" s="1015"/>
      <c r="Z3" s="1011" t="s">
        <v>167</v>
      </c>
      <c r="AA3" s="1012"/>
      <c r="AB3" s="1011" t="s">
        <v>168</v>
      </c>
      <c r="AC3" s="1015"/>
      <c r="AD3" s="1013" t="s">
        <v>169</v>
      </c>
      <c r="AE3" s="1014"/>
      <c r="AF3" s="1011" t="s">
        <v>170</v>
      </c>
      <c r="AG3" s="1015"/>
      <c r="AH3" s="1011" t="s">
        <v>171</v>
      </c>
      <c r="AI3" s="1012"/>
      <c r="AJ3" s="1011" t="s">
        <v>172</v>
      </c>
      <c r="AK3" s="1012"/>
      <c r="AL3" s="1013" t="s">
        <v>173</v>
      </c>
      <c r="AM3" s="1014"/>
      <c r="AN3" s="1011" t="s">
        <v>174</v>
      </c>
      <c r="AO3" s="1012"/>
      <c r="AP3" s="1011" t="s">
        <v>175</v>
      </c>
      <c r="AQ3" s="1012"/>
      <c r="AR3" s="1011" t="s">
        <v>176</v>
      </c>
      <c r="AS3" s="1015"/>
      <c r="AT3" s="1011" t="s">
        <v>177</v>
      </c>
      <c r="AU3" s="1012"/>
      <c r="AV3" s="1011" t="s">
        <v>1</v>
      </c>
      <c r="AW3" s="1012"/>
      <c r="AX3" s="1013" t="s">
        <v>178</v>
      </c>
      <c r="AY3" s="1020"/>
      <c r="AZ3" s="1013" t="s">
        <v>2</v>
      </c>
      <c r="BA3" s="1014"/>
    </row>
    <row r="4" spans="1:53" s="430" customFormat="1" ht="17.25" thickBot="1" x14ac:dyDescent="0.35">
      <c r="A4" s="1019"/>
      <c r="B4" s="428" t="s">
        <v>180</v>
      </c>
      <c r="C4" s="428" t="s">
        <v>181</v>
      </c>
      <c r="D4" s="428" t="s">
        <v>180</v>
      </c>
      <c r="E4" s="429" t="s">
        <v>181</v>
      </c>
      <c r="F4" s="428" t="s">
        <v>180</v>
      </c>
      <c r="G4" s="428" t="s">
        <v>181</v>
      </c>
      <c r="H4" s="428" t="s">
        <v>180</v>
      </c>
      <c r="I4" s="428" t="s">
        <v>181</v>
      </c>
      <c r="J4" s="428" t="s">
        <v>180</v>
      </c>
      <c r="K4" s="429" t="s">
        <v>181</v>
      </c>
      <c r="L4" s="428" t="s">
        <v>180</v>
      </c>
      <c r="M4" s="428" t="s">
        <v>181</v>
      </c>
      <c r="N4" s="428" t="s">
        <v>180</v>
      </c>
      <c r="O4" s="429" t="s">
        <v>181</v>
      </c>
      <c r="P4" s="428" t="s">
        <v>180</v>
      </c>
      <c r="Q4" s="429" t="s">
        <v>181</v>
      </c>
      <c r="R4" s="428" t="s">
        <v>3</v>
      </c>
      <c r="S4" s="429" t="s">
        <v>4</v>
      </c>
      <c r="T4" s="428" t="s">
        <v>180</v>
      </c>
      <c r="U4" s="428" t="s">
        <v>181</v>
      </c>
      <c r="V4" s="428" t="s">
        <v>180</v>
      </c>
      <c r="W4" s="429" t="s">
        <v>181</v>
      </c>
      <c r="X4" s="428" t="s">
        <v>180</v>
      </c>
      <c r="Y4" s="428" t="s">
        <v>181</v>
      </c>
      <c r="Z4" s="428" t="s">
        <v>180</v>
      </c>
      <c r="AA4" s="429" t="s">
        <v>181</v>
      </c>
      <c r="AB4" s="428" t="s">
        <v>180</v>
      </c>
      <c r="AC4" s="428" t="s">
        <v>181</v>
      </c>
      <c r="AD4" s="428" t="s">
        <v>180</v>
      </c>
      <c r="AE4" s="429" t="s">
        <v>181</v>
      </c>
      <c r="AF4" s="428" t="s">
        <v>180</v>
      </c>
      <c r="AG4" s="428" t="s">
        <v>181</v>
      </c>
      <c r="AH4" s="427" t="s">
        <v>180</v>
      </c>
      <c r="AI4" s="429" t="s">
        <v>181</v>
      </c>
      <c r="AJ4" s="428" t="s">
        <v>180</v>
      </c>
      <c r="AK4" s="428" t="s">
        <v>181</v>
      </c>
      <c r="AL4" s="428" t="s">
        <v>180</v>
      </c>
      <c r="AM4" s="429" t="s">
        <v>181</v>
      </c>
      <c r="AN4" s="428" t="s">
        <v>180</v>
      </c>
      <c r="AO4" s="428" t="s">
        <v>181</v>
      </c>
      <c r="AP4" s="428" t="s">
        <v>180</v>
      </c>
      <c r="AQ4" s="429" t="s">
        <v>181</v>
      </c>
      <c r="AR4" s="428" t="s">
        <v>180</v>
      </c>
      <c r="AS4" s="428" t="s">
        <v>181</v>
      </c>
      <c r="AT4" s="427" t="s">
        <v>180</v>
      </c>
      <c r="AU4" s="429" t="s">
        <v>181</v>
      </c>
      <c r="AV4" s="428" t="s">
        <v>180</v>
      </c>
      <c r="AW4" s="428" t="s">
        <v>181</v>
      </c>
      <c r="AX4" s="428" t="s">
        <v>180</v>
      </c>
      <c r="AY4" s="428" t="s">
        <v>181</v>
      </c>
      <c r="AZ4" s="427" t="s">
        <v>180</v>
      </c>
      <c r="BA4" s="429" t="s">
        <v>181</v>
      </c>
    </row>
    <row r="5" spans="1:53" ht="17.25" x14ac:dyDescent="0.35">
      <c r="A5" s="255" t="s">
        <v>5</v>
      </c>
      <c r="B5" s="372">
        <v>329</v>
      </c>
      <c r="C5" s="373">
        <v>791</v>
      </c>
      <c r="D5" s="375">
        <v>-0.01</v>
      </c>
      <c r="E5" s="377">
        <v>-0.04</v>
      </c>
      <c r="F5" s="375">
        <v>56.58</v>
      </c>
      <c r="G5" s="377">
        <v>113.34</v>
      </c>
      <c r="H5" s="375">
        <v>372</v>
      </c>
      <c r="I5" s="376">
        <v>1153</v>
      </c>
      <c r="J5" s="375">
        <v>69.790000000000006</v>
      </c>
      <c r="K5" s="377">
        <v>174</v>
      </c>
      <c r="L5" s="375"/>
      <c r="M5" s="376"/>
      <c r="N5" s="375">
        <v>36.56</v>
      </c>
      <c r="O5" s="377">
        <v>116.89</v>
      </c>
      <c r="P5" s="378">
        <v>82.81</v>
      </c>
      <c r="Q5" s="379">
        <v>167.67</v>
      </c>
      <c r="R5" s="40">
        <v>152.77000000000001</v>
      </c>
      <c r="S5" s="48">
        <v>387.47</v>
      </c>
      <c r="T5" s="40">
        <v>32.32</v>
      </c>
      <c r="U5" s="626">
        <v>76.5</v>
      </c>
      <c r="V5" s="40">
        <v>321.49</v>
      </c>
      <c r="W5" s="48">
        <v>784.26</v>
      </c>
      <c r="X5" s="40">
        <v>558.20000000000005</v>
      </c>
      <c r="Y5" s="626">
        <v>2148</v>
      </c>
      <c r="Z5" s="380">
        <v>15.6</v>
      </c>
      <c r="AA5" s="381">
        <v>48.87</v>
      </c>
      <c r="AB5" s="375">
        <v>4.04</v>
      </c>
      <c r="AC5" s="376">
        <v>11.99</v>
      </c>
      <c r="AD5" s="375">
        <v>233.13</v>
      </c>
      <c r="AE5" s="377">
        <v>636.28</v>
      </c>
      <c r="AF5" s="375">
        <v>309.75</v>
      </c>
      <c r="AG5" s="376">
        <v>939.18</v>
      </c>
      <c r="AH5" s="374">
        <v>23.72</v>
      </c>
      <c r="AI5" s="377">
        <v>68.06</v>
      </c>
      <c r="AJ5" s="375">
        <v>175.87</v>
      </c>
      <c r="AK5" s="376">
        <v>494</v>
      </c>
      <c r="AL5" s="375"/>
      <c r="AM5" s="377"/>
      <c r="AN5" s="382">
        <v>918</v>
      </c>
      <c r="AO5" s="629">
        <v>2626</v>
      </c>
      <c r="AP5" s="383">
        <v>14.92</v>
      </c>
      <c r="AQ5" s="384">
        <v>54.93</v>
      </c>
      <c r="AR5" s="385">
        <v>1.08</v>
      </c>
      <c r="AS5" s="635">
        <v>3.12</v>
      </c>
      <c r="AT5" s="374">
        <v>192.21</v>
      </c>
      <c r="AU5" s="377">
        <v>461.01</v>
      </c>
      <c r="AV5" s="386">
        <f t="shared" ref="AV5:AV18" si="0">SUM(B5+D5+F5+H5+J5+L5+N5+P5+R5+T5+V5+X5+Z5+AB5+AD5+AF5+AH5+AJ5+AL5+AN5+AP5+AR5+AT5)</f>
        <v>3899.8299999999995</v>
      </c>
      <c r="AW5" s="386">
        <f t="shared" ref="AW5:AW18" si="1">SUM(C5+E5+G5+I5+K5+M5+O5+Q5+S5+U5+W5+Y5+AA5+AC5+AE5+AG5+AI5+AK5+AM5+AO5+AQ5+AS5+AU5)</f>
        <v>11255.530000000002</v>
      </c>
      <c r="AX5" s="385">
        <v>14562.55</v>
      </c>
      <c r="AY5" s="635">
        <v>49490.43</v>
      </c>
      <c r="AZ5" s="387">
        <f t="shared" ref="AZ5:AZ18" si="2">AV5+AX5</f>
        <v>18462.379999999997</v>
      </c>
      <c r="BA5" s="388">
        <f t="shared" ref="BA5:BA18" si="3">AW5+AY5</f>
        <v>60745.960000000006</v>
      </c>
    </row>
    <row r="6" spans="1:53" ht="17.25" x14ac:dyDescent="0.35">
      <c r="A6" s="108" t="s">
        <v>6</v>
      </c>
      <c r="B6" s="68">
        <v>107</v>
      </c>
      <c r="C6" s="69">
        <v>224</v>
      </c>
      <c r="D6" s="71">
        <v>0.51</v>
      </c>
      <c r="E6" s="73">
        <v>1.1599999999999999</v>
      </c>
      <c r="F6" s="71">
        <v>5.22</v>
      </c>
      <c r="G6" s="73">
        <v>12.14</v>
      </c>
      <c r="H6" s="71">
        <v>29</v>
      </c>
      <c r="I6" s="72">
        <v>78</v>
      </c>
      <c r="J6" s="71">
        <v>0.05</v>
      </c>
      <c r="K6" s="73">
        <v>0</v>
      </c>
      <c r="L6" s="71">
        <v>276.88</v>
      </c>
      <c r="M6" s="72">
        <v>825.42</v>
      </c>
      <c r="N6" s="71">
        <v>8.57</v>
      </c>
      <c r="O6" s="73">
        <v>17.600000000000001</v>
      </c>
      <c r="P6" s="74">
        <v>18.88</v>
      </c>
      <c r="Q6" s="75">
        <v>37.51</v>
      </c>
      <c r="R6" s="2">
        <v>16.3</v>
      </c>
      <c r="S6" s="3">
        <v>32.79</v>
      </c>
      <c r="T6" s="2">
        <v>4.6500000000000004</v>
      </c>
      <c r="U6" s="237">
        <v>12.6</v>
      </c>
      <c r="V6" s="2">
        <v>1419.35</v>
      </c>
      <c r="W6" s="3">
        <v>3493.6</v>
      </c>
      <c r="X6" s="2">
        <v>1306.4000000000001</v>
      </c>
      <c r="Y6" s="237">
        <v>4416.7</v>
      </c>
      <c r="Z6" s="4">
        <v>199.46</v>
      </c>
      <c r="AA6" s="5">
        <v>602.04999999999995</v>
      </c>
      <c r="AB6" s="71">
        <v>205.47</v>
      </c>
      <c r="AC6" s="72">
        <v>568.13</v>
      </c>
      <c r="AD6" s="71">
        <v>637.74</v>
      </c>
      <c r="AE6" s="73">
        <v>1194.1199999999999</v>
      </c>
      <c r="AF6" s="71">
        <v>1108.1400000000001</v>
      </c>
      <c r="AG6" s="72">
        <v>2534.5100000000002</v>
      </c>
      <c r="AH6" s="70">
        <v>296.55</v>
      </c>
      <c r="AI6" s="73">
        <v>810.26</v>
      </c>
      <c r="AJ6" s="71">
        <v>6.56</v>
      </c>
      <c r="AK6" s="72">
        <v>7.14</v>
      </c>
      <c r="AL6" s="71"/>
      <c r="AM6" s="73"/>
      <c r="AN6" s="82">
        <v>1655</v>
      </c>
      <c r="AO6" s="630">
        <v>5669</v>
      </c>
      <c r="AP6" s="77">
        <v>0.33</v>
      </c>
      <c r="AQ6" s="78">
        <v>0.45</v>
      </c>
      <c r="AR6" s="79">
        <v>209.28</v>
      </c>
      <c r="AS6" s="636">
        <v>619.79999999999995</v>
      </c>
      <c r="AT6" s="70">
        <v>346.91</v>
      </c>
      <c r="AU6" s="73">
        <v>698.29</v>
      </c>
      <c r="AV6" s="80">
        <f t="shared" si="0"/>
        <v>7858.25</v>
      </c>
      <c r="AW6" s="80">
        <f t="shared" si="1"/>
        <v>21855.27</v>
      </c>
      <c r="AX6" s="79">
        <v>359.91</v>
      </c>
      <c r="AY6" s="636">
        <v>1350.43</v>
      </c>
      <c r="AZ6" s="81">
        <f t="shared" si="2"/>
        <v>8218.16</v>
      </c>
      <c r="BA6" s="256">
        <f t="shared" si="3"/>
        <v>23205.7</v>
      </c>
    </row>
    <row r="7" spans="1:53" ht="17.25" x14ac:dyDescent="0.35">
      <c r="A7" s="108" t="s">
        <v>7</v>
      </c>
      <c r="B7" s="68">
        <v>6</v>
      </c>
      <c r="C7" s="69">
        <v>16</v>
      </c>
      <c r="D7" s="71">
        <v>2.39</v>
      </c>
      <c r="E7" s="73">
        <v>11.44</v>
      </c>
      <c r="F7" s="71">
        <v>4.8600000000000003</v>
      </c>
      <c r="G7" s="73">
        <v>8.86</v>
      </c>
      <c r="H7" s="71">
        <v>8</v>
      </c>
      <c r="I7" s="72">
        <v>17</v>
      </c>
      <c r="J7" s="71">
        <v>13.66</v>
      </c>
      <c r="K7" s="73">
        <v>28</v>
      </c>
      <c r="L7" s="71">
        <v>7.0000000000000007E-2</v>
      </c>
      <c r="M7" s="72">
        <v>7.0000000000000007E-2</v>
      </c>
      <c r="N7" s="71">
        <v>34.21</v>
      </c>
      <c r="O7" s="73">
        <v>73.92</v>
      </c>
      <c r="P7" s="74">
        <v>8.99</v>
      </c>
      <c r="Q7" s="75">
        <v>22</v>
      </c>
      <c r="R7" s="2">
        <v>9.01</v>
      </c>
      <c r="S7" s="3">
        <v>33.64</v>
      </c>
      <c r="T7" s="2">
        <v>7.4</v>
      </c>
      <c r="U7" s="237">
        <v>18.48</v>
      </c>
      <c r="V7" s="2">
        <v>104.29</v>
      </c>
      <c r="W7" s="3">
        <v>285.99</v>
      </c>
      <c r="X7" s="2">
        <v>84.3</v>
      </c>
      <c r="Y7" s="237">
        <v>240.9</v>
      </c>
      <c r="Z7" s="4"/>
      <c r="AA7" s="5"/>
      <c r="AB7" s="71">
        <v>1.57</v>
      </c>
      <c r="AC7" s="72">
        <v>4.66</v>
      </c>
      <c r="AD7" s="71">
        <v>1.34</v>
      </c>
      <c r="AE7" s="73">
        <v>5.65</v>
      </c>
      <c r="AF7" s="71">
        <v>41.88</v>
      </c>
      <c r="AG7" s="72">
        <v>102.43</v>
      </c>
      <c r="AH7" s="70">
        <v>0.35</v>
      </c>
      <c r="AI7" s="73">
        <v>0.47</v>
      </c>
      <c r="AJ7" s="71">
        <v>6.35</v>
      </c>
      <c r="AK7" s="72">
        <v>27.01</v>
      </c>
      <c r="AL7" s="71"/>
      <c r="AM7" s="73"/>
      <c r="AN7" s="76">
        <v>17</v>
      </c>
      <c r="AO7" s="631">
        <v>43</v>
      </c>
      <c r="AP7" s="77">
        <v>76.36</v>
      </c>
      <c r="AQ7" s="78">
        <v>238.25</v>
      </c>
      <c r="AR7" s="79"/>
      <c r="AS7" s="636"/>
      <c r="AT7" s="70">
        <v>6.63</v>
      </c>
      <c r="AU7" s="73">
        <v>7.89</v>
      </c>
      <c r="AV7" s="80">
        <f t="shared" si="0"/>
        <v>434.66</v>
      </c>
      <c r="AW7" s="80">
        <f t="shared" si="1"/>
        <v>1185.6600000000001</v>
      </c>
      <c r="AX7" s="79">
        <v>10.23</v>
      </c>
      <c r="AY7" s="636">
        <v>36.65</v>
      </c>
      <c r="AZ7" s="81">
        <f t="shared" si="2"/>
        <v>444.89000000000004</v>
      </c>
      <c r="BA7" s="256">
        <f t="shared" si="3"/>
        <v>1222.3100000000002</v>
      </c>
    </row>
    <row r="8" spans="1:53" ht="17.25" x14ac:dyDescent="0.35">
      <c r="A8" s="108" t="s">
        <v>8</v>
      </c>
      <c r="B8" s="68">
        <v>10</v>
      </c>
      <c r="C8" s="69">
        <v>31</v>
      </c>
      <c r="D8" s="71">
        <v>0.71</v>
      </c>
      <c r="E8" s="73">
        <v>0.16</v>
      </c>
      <c r="F8" s="71">
        <v>2.64</v>
      </c>
      <c r="G8" s="73">
        <v>4.57</v>
      </c>
      <c r="H8" s="71">
        <v>13</v>
      </c>
      <c r="I8" s="72">
        <v>33</v>
      </c>
      <c r="J8" s="71">
        <v>84.52</v>
      </c>
      <c r="K8" s="73">
        <v>187</v>
      </c>
      <c r="L8" s="71"/>
      <c r="M8" s="72"/>
      <c r="N8" s="71">
        <v>-0.09</v>
      </c>
      <c r="O8" s="73">
        <v>-0.48</v>
      </c>
      <c r="P8" s="74">
        <v>2.61</v>
      </c>
      <c r="Q8" s="75">
        <v>5.43</v>
      </c>
      <c r="R8" s="2">
        <v>41.6</v>
      </c>
      <c r="S8" s="3">
        <v>122.05</v>
      </c>
      <c r="T8" s="2">
        <v>7.62</v>
      </c>
      <c r="U8" s="237">
        <v>28.06</v>
      </c>
      <c r="V8" s="2">
        <v>83.47</v>
      </c>
      <c r="W8" s="3">
        <v>227.86</v>
      </c>
      <c r="X8" s="2">
        <v>60.9</v>
      </c>
      <c r="Y8" s="237">
        <v>178.9</v>
      </c>
      <c r="Z8" s="4">
        <v>26.27</v>
      </c>
      <c r="AA8" s="5">
        <v>76.16</v>
      </c>
      <c r="AB8" s="71">
        <v>4.03</v>
      </c>
      <c r="AC8" s="72">
        <v>9.48</v>
      </c>
      <c r="AD8" s="71">
        <v>9.7799999999999994</v>
      </c>
      <c r="AE8" s="73">
        <v>33.44</v>
      </c>
      <c r="AF8" s="71">
        <v>3.84</v>
      </c>
      <c r="AG8" s="72">
        <v>10.48</v>
      </c>
      <c r="AH8" s="70">
        <v>1.78</v>
      </c>
      <c r="AI8" s="73">
        <v>5.96</v>
      </c>
      <c r="AJ8" s="71">
        <v>16.09</v>
      </c>
      <c r="AK8" s="72">
        <v>40.5</v>
      </c>
      <c r="AL8" s="71"/>
      <c r="AM8" s="73"/>
      <c r="AN8" s="76"/>
      <c r="AO8" s="631">
        <v>1</v>
      </c>
      <c r="AP8" s="77">
        <v>7.34</v>
      </c>
      <c r="AQ8" s="78">
        <v>16.579999999999998</v>
      </c>
      <c r="AR8" s="79"/>
      <c r="AS8" s="636"/>
      <c r="AT8" s="70">
        <v>42.75</v>
      </c>
      <c r="AU8" s="73">
        <v>155.13</v>
      </c>
      <c r="AV8" s="80">
        <f t="shared" si="0"/>
        <v>418.85999999999984</v>
      </c>
      <c r="AW8" s="80">
        <f t="shared" si="1"/>
        <v>1166.2800000000002</v>
      </c>
      <c r="AX8" s="79">
        <v>9.43</v>
      </c>
      <c r="AY8" s="636">
        <v>25.71</v>
      </c>
      <c r="AZ8" s="81">
        <f t="shared" si="2"/>
        <v>428.28999999999985</v>
      </c>
      <c r="BA8" s="256">
        <f t="shared" si="3"/>
        <v>1191.9900000000002</v>
      </c>
    </row>
    <row r="9" spans="1:53" ht="17.25" x14ac:dyDescent="0.35">
      <c r="A9" s="108" t="s">
        <v>9</v>
      </c>
      <c r="B9" s="38">
        <v>0</v>
      </c>
      <c r="C9" s="84">
        <v>0</v>
      </c>
      <c r="D9" s="85"/>
      <c r="E9" s="87"/>
      <c r="F9" s="85"/>
      <c r="G9" s="87"/>
      <c r="H9" s="85"/>
      <c r="I9" s="86"/>
      <c r="J9" s="85"/>
      <c r="K9" s="87"/>
      <c r="L9" s="85"/>
      <c r="M9" s="86"/>
      <c r="N9" s="85"/>
      <c r="O9" s="87"/>
      <c r="P9" s="74"/>
      <c r="Q9" s="75">
        <v>0.01</v>
      </c>
      <c r="R9" s="7"/>
      <c r="S9" s="8"/>
      <c r="T9" s="7"/>
      <c r="U9" s="100"/>
      <c r="V9" s="7"/>
      <c r="W9" s="8"/>
      <c r="X9" s="7"/>
      <c r="Y9" s="100"/>
      <c r="Z9" s="4"/>
      <c r="AA9" s="5"/>
      <c r="AB9" s="85">
        <v>0</v>
      </c>
      <c r="AC9" s="86">
        <v>0</v>
      </c>
      <c r="AD9" s="88">
        <v>0.02</v>
      </c>
      <c r="AE9" s="89">
        <v>0.03</v>
      </c>
      <c r="AF9" s="85"/>
      <c r="AG9" s="86"/>
      <c r="AH9" s="81"/>
      <c r="AI9" s="87"/>
      <c r="AJ9" s="85"/>
      <c r="AK9" s="86"/>
      <c r="AL9" s="71"/>
      <c r="AM9" s="73"/>
      <c r="AN9" s="9"/>
      <c r="AO9" s="632"/>
      <c r="AP9" s="77"/>
      <c r="AQ9" s="78"/>
      <c r="AR9" s="79"/>
      <c r="AS9" s="636"/>
      <c r="AT9" s="81">
        <v>0.36</v>
      </c>
      <c r="AU9" s="87">
        <v>0.68</v>
      </c>
      <c r="AV9" s="80">
        <f t="shared" si="0"/>
        <v>0.38</v>
      </c>
      <c r="AW9" s="80">
        <f t="shared" si="1"/>
        <v>0.72000000000000008</v>
      </c>
      <c r="AX9" s="85">
        <v>6.05</v>
      </c>
      <c r="AY9" s="86">
        <v>17.87</v>
      </c>
      <c r="AZ9" s="81">
        <f t="shared" si="2"/>
        <v>6.43</v>
      </c>
      <c r="BA9" s="256">
        <f t="shared" si="3"/>
        <v>18.59</v>
      </c>
    </row>
    <row r="10" spans="1:53" ht="17.25" x14ac:dyDescent="0.35">
      <c r="A10" s="108" t="s">
        <v>17</v>
      </c>
      <c r="B10" s="68"/>
      <c r="C10" s="69"/>
      <c r="D10" s="71"/>
      <c r="E10" s="73"/>
      <c r="F10" s="71"/>
      <c r="G10" s="73"/>
      <c r="H10" s="71"/>
      <c r="I10" s="72"/>
      <c r="J10" s="71"/>
      <c r="K10" s="73"/>
      <c r="L10" s="71"/>
      <c r="M10" s="72"/>
      <c r="N10" s="71"/>
      <c r="O10" s="73"/>
      <c r="P10" s="74"/>
      <c r="Q10" s="75"/>
      <c r="R10" s="2"/>
      <c r="S10" s="3"/>
      <c r="T10" s="2"/>
      <c r="U10" s="237"/>
      <c r="V10" s="2"/>
      <c r="W10" s="3">
        <v>-0.01</v>
      </c>
      <c r="X10" s="2"/>
      <c r="Y10" s="237"/>
      <c r="Z10" s="2"/>
      <c r="AA10" s="3"/>
      <c r="AB10" s="71">
        <v>1.1599999999999999</v>
      </c>
      <c r="AC10" s="72">
        <v>2.09</v>
      </c>
      <c r="AD10" s="71">
        <v>50.36</v>
      </c>
      <c r="AE10" s="73">
        <v>101.38</v>
      </c>
      <c r="AF10" s="71"/>
      <c r="AG10" s="72"/>
      <c r="AH10" s="70"/>
      <c r="AI10" s="73"/>
      <c r="AJ10" s="71"/>
      <c r="AK10" s="72"/>
      <c r="AL10" s="71"/>
      <c r="AM10" s="73"/>
      <c r="AN10" s="76"/>
      <c r="AO10" s="631"/>
      <c r="AP10" s="77"/>
      <c r="AQ10" s="78"/>
      <c r="AR10" s="79"/>
      <c r="AS10" s="636"/>
      <c r="AT10" s="70"/>
      <c r="AU10" s="73"/>
      <c r="AV10" s="80">
        <f t="shared" si="0"/>
        <v>51.519999999999996</v>
      </c>
      <c r="AW10" s="80">
        <f t="shared" si="1"/>
        <v>103.46</v>
      </c>
      <c r="AX10" s="79"/>
      <c r="AY10" s="636"/>
      <c r="AZ10" s="81">
        <f t="shared" si="2"/>
        <v>51.519999999999996</v>
      </c>
      <c r="BA10" s="256">
        <f t="shared" si="3"/>
        <v>103.46</v>
      </c>
    </row>
    <row r="11" spans="1:53" ht="17.25" x14ac:dyDescent="0.35">
      <c r="A11" s="108" t="s">
        <v>10</v>
      </c>
      <c r="B11" s="68">
        <v>39</v>
      </c>
      <c r="C11" s="69">
        <v>90</v>
      </c>
      <c r="D11" s="71">
        <v>51.96</v>
      </c>
      <c r="E11" s="73">
        <v>121.16</v>
      </c>
      <c r="F11" s="71">
        <v>23.9</v>
      </c>
      <c r="G11" s="73">
        <v>58.74</v>
      </c>
      <c r="H11" s="71">
        <v>46</v>
      </c>
      <c r="I11" s="72">
        <v>116</v>
      </c>
      <c r="J11" s="71">
        <v>31.41</v>
      </c>
      <c r="K11" s="73">
        <v>78</v>
      </c>
      <c r="L11" s="71">
        <v>1.86</v>
      </c>
      <c r="M11" s="72">
        <v>5.16</v>
      </c>
      <c r="N11" s="71">
        <v>49.06</v>
      </c>
      <c r="O11" s="73">
        <v>150.25</v>
      </c>
      <c r="P11" s="74">
        <v>23.15</v>
      </c>
      <c r="Q11" s="75">
        <v>34.479999999999997</v>
      </c>
      <c r="R11" s="2">
        <v>15.38</v>
      </c>
      <c r="S11" s="3">
        <v>37.67</v>
      </c>
      <c r="T11" s="2">
        <v>74.599999999999994</v>
      </c>
      <c r="U11" s="237">
        <v>150.26</v>
      </c>
      <c r="V11" s="2">
        <v>523.12</v>
      </c>
      <c r="W11" s="3">
        <v>1148.77</v>
      </c>
      <c r="X11" s="2">
        <v>373.7</v>
      </c>
      <c r="Y11" s="237">
        <v>1347.2</v>
      </c>
      <c r="Z11" s="2">
        <v>1.68</v>
      </c>
      <c r="AA11" s="3">
        <v>4.8</v>
      </c>
      <c r="AB11" s="71">
        <v>4.28</v>
      </c>
      <c r="AC11" s="72">
        <v>10.73</v>
      </c>
      <c r="AD11" s="71">
        <v>0.92</v>
      </c>
      <c r="AE11" s="73">
        <v>0.92</v>
      </c>
      <c r="AF11" s="71">
        <v>123.12</v>
      </c>
      <c r="AG11" s="72">
        <v>397.33</v>
      </c>
      <c r="AH11" s="70">
        <v>125.49</v>
      </c>
      <c r="AI11" s="73">
        <v>369.75</v>
      </c>
      <c r="AJ11" s="71">
        <v>59.07</v>
      </c>
      <c r="AK11" s="72">
        <v>175.54</v>
      </c>
      <c r="AL11" s="71"/>
      <c r="AM11" s="73"/>
      <c r="AN11" s="76">
        <v>28</v>
      </c>
      <c r="AO11" s="631">
        <v>68</v>
      </c>
      <c r="AP11" s="77">
        <v>60</v>
      </c>
      <c r="AQ11" s="78">
        <v>155.07</v>
      </c>
      <c r="AR11" s="79">
        <v>4.72</v>
      </c>
      <c r="AS11" s="636">
        <v>19.87</v>
      </c>
      <c r="AT11" s="70">
        <v>27.15</v>
      </c>
      <c r="AU11" s="73">
        <v>79.78</v>
      </c>
      <c r="AV11" s="80">
        <f t="shared" si="0"/>
        <v>1687.5700000000004</v>
      </c>
      <c r="AW11" s="80">
        <f t="shared" si="1"/>
        <v>4619.4799999999987</v>
      </c>
      <c r="AX11" s="79">
        <v>32.78</v>
      </c>
      <c r="AY11" s="636">
        <v>845.16</v>
      </c>
      <c r="AZ11" s="81">
        <f t="shared" si="2"/>
        <v>1720.3500000000004</v>
      </c>
      <c r="BA11" s="256">
        <f t="shared" si="3"/>
        <v>5464.6399999999985</v>
      </c>
    </row>
    <row r="12" spans="1:53" ht="17.25" x14ac:dyDescent="0.35">
      <c r="A12" s="108" t="s">
        <v>18</v>
      </c>
      <c r="B12" s="68"/>
      <c r="C12" s="69"/>
      <c r="D12" s="71"/>
      <c r="E12" s="73"/>
      <c r="F12" s="71"/>
      <c r="G12" s="73"/>
      <c r="H12" s="71"/>
      <c r="I12" s="72"/>
      <c r="J12" s="71"/>
      <c r="K12" s="73"/>
      <c r="L12" s="71"/>
      <c r="M12" s="72"/>
      <c r="N12" s="71"/>
      <c r="O12" s="73"/>
      <c r="P12" s="74"/>
      <c r="Q12" s="75"/>
      <c r="R12" s="2"/>
      <c r="S12" s="3"/>
      <c r="T12" s="2"/>
      <c r="U12" s="237"/>
      <c r="V12" s="2"/>
      <c r="W12" s="3"/>
      <c r="X12" s="2"/>
      <c r="Y12" s="237"/>
      <c r="Z12" s="2"/>
      <c r="AA12" s="3"/>
      <c r="AB12" s="71"/>
      <c r="AC12" s="72"/>
      <c r="AD12" s="71"/>
      <c r="AE12" s="73"/>
      <c r="AF12" s="71">
        <v>0.03</v>
      </c>
      <c r="AG12" s="72">
        <v>0.03</v>
      </c>
      <c r="AH12" s="70"/>
      <c r="AI12" s="73"/>
      <c r="AJ12" s="71"/>
      <c r="AK12" s="72"/>
      <c r="AL12" s="71"/>
      <c r="AM12" s="73"/>
      <c r="AN12" s="76"/>
      <c r="AO12" s="631"/>
      <c r="AP12" s="77"/>
      <c r="AQ12" s="78"/>
      <c r="AR12" s="79"/>
      <c r="AS12" s="636"/>
      <c r="AT12" s="70"/>
      <c r="AU12" s="73"/>
      <c r="AV12" s="80">
        <f t="shared" si="0"/>
        <v>0.03</v>
      </c>
      <c r="AW12" s="80">
        <f t="shared" si="1"/>
        <v>0.03</v>
      </c>
      <c r="AX12" s="79"/>
      <c r="AY12" s="636"/>
      <c r="AZ12" s="81">
        <f t="shared" si="2"/>
        <v>0.03</v>
      </c>
      <c r="BA12" s="256">
        <f t="shared" si="3"/>
        <v>0.03</v>
      </c>
    </row>
    <row r="13" spans="1:53" ht="17.25" x14ac:dyDescent="0.35">
      <c r="A13" s="108" t="s">
        <v>19</v>
      </c>
      <c r="B13" s="68"/>
      <c r="C13" s="69"/>
      <c r="D13" s="71"/>
      <c r="E13" s="73"/>
      <c r="F13" s="71"/>
      <c r="G13" s="73"/>
      <c r="H13" s="71"/>
      <c r="I13" s="72"/>
      <c r="J13" s="71"/>
      <c r="K13" s="73"/>
      <c r="L13" s="71"/>
      <c r="M13" s="72"/>
      <c r="N13" s="71"/>
      <c r="O13" s="73"/>
      <c r="P13" s="74"/>
      <c r="Q13" s="75"/>
      <c r="R13" s="2"/>
      <c r="S13" s="3">
        <v>0.05</v>
      </c>
      <c r="T13" s="2"/>
      <c r="U13" s="237"/>
      <c r="V13" s="2">
        <v>1.76</v>
      </c>
      <c r="W13" s="3">
        <v>3.05</v>
      </c>
      <c r="X13" s="2">
        <v>0.5</v>
      </c>
      <c r="Y13" s="237">
        <v>1.2</v>
      </c>
      <c r="Z13" s="2"/>
      <c r="AA13" s="3"/>
      <c r="AB13" s="71"/>
      <c r="AC13" s="72"/>
      <c r="AD13" s="71"/>
      <c r="AE13" s="73"/>
      <c r="AF13" s="71"/>
      <c r="AG13" s="72"/>
      <c r="AH13" s="70"/>
      <c r="AI13" s="73"/>
      <c r="AJ13" s="71"/>
      <c r="AK13" s="72"/>
      <c r="AL13" s="71"/>
      <c r="AM13" s="73"/>
      <c r="AN13" s="76"/>
      <c r="AO13" s="631"/>
      <c r="AP13" s="77"/>
      <c r="AQ13" s="78"/>
      <c r="AR13" s="79"/>
      <c r="AS13" s="636"/>
      <c r="AT13" s="70"/>
      <c r="AU13" s="73"/>
      <c r="AV13" s="80">
        <f t="shared" si="0"/>
        <v>2.2599999999999998</v>
      </c>
      <c r="AW13" s="80">
        <f t="shared" si="1"/>
        <v>4.3</v>
      </c>
      <c r="AX13" s="79">
        <v>2.98</v>
      </c>
      <c r="AY13" s="636">
        <v>7.7</v>
      </c>
      <c r="AZ13" s="81">
        <f t="shared" si="2"/>
        <v>5.24</v>
      </c>
      <c r="BA13" s="256">
        <f t="shared" si="3"/>
        <v>12</v>
      </c>
    </row>
    <row r="14" spans="1:53" ht="17.25" x14ac:dyDescent="0.35">
      <c r="A14" s="108" t="s">
        <v>184</v>
      </c>
      <c r="B14" s="68"/>
      <c r="C14" s="69"/>
      <c r="D14" s="71"/>
      <c r="E14" s="73"/>
      <c r="F14" s="71"/>
      <c r="G14" s="73"/>
      <c r="H14" s="71">
        <v>25</v>
      </c>
      <c r="I14" s="72">
        <v>60</v>
      </c>
      <c r="J14" s="71"/>
      <c r="K14" s="73"/>
      <c r="L14" s="71"/>
      <c r="M14" s="72"/>
      <c r="N14" s="71"/>
      <c r="O14" s="73"/>
      <c r="P14" s="74"/>
      <c r="Q14" s="75"/>
      <c r="R14" s="2"/>
      <c r="S14" s="3"/>
      <c r="T14" s="2"/>
      <c r="U14" s="237"/>
      <c r="V14" s="2"/>
      <c r="W14" s="3"/>
      <c r="X14" s="2">
        <v>12.9</v>
      </c>
      <c r="Y14" s="237">
        <v>44.5</v>
      </c>
      <c r="Z14" s="2"/>
      <c r="AA14" s="3"/>
      <c r="AB14" s="71"/>
      <c r="AC14" s="72"/>
      <c r="AD14" s="71"/>
      <c r="AE14" s="73"/>
      <c r="AF14" s="71"/>
      <c r="AG14" s="72"/>
      <c r="AH14" s="70"/>
      <c r="AI14" s="73"/>
      <c r="AJ14" s="71"/>
      <c r="AK14" s="72"/>
      <c r="AL14" s="71"/>
      <c r="AM14" s="73"/>
      <c r="AN14" s="76"/>
      <c r="AO14" s="631"/>
      <c r="AP14" s="77"/>
      <c r="AQ14" s="78"/>
      <c r="AR14" s="79"/>
      <c r="AS14" s="636"/>
      <c r="AT14" s="70"/>
      <c r="AU14" s="73"/>
      <c r="AV14" s="80">
        <f t="shared" si="0"/>
        <v>37.9</v>
      </c>
      <c r="AW14" s="80">
        <f t="shared" si="1"/>
        <v>104.5</v>
      </c>
      <c r="AX14" s="79"/>
      <c r="AY14" s="636"/>
      <c r="AZ14" s="81">
        <f t="shared" si="2"/>
        <v>37.9</v>
      </c>
      <c r="BA14" s="256">
        <f t="shared" si="3"/>
        <v>104.5</v>
      </c>
    </row>
    <row r="15" spans="1:53" ht="18" thickBot="1" x14ac:dyDescent="0.4">
      <c r="A15" s="257" t="s">
        <v>21</v>
      </c>
      <c r="B15" s="278"/>
      <c r="C15" s="279"/>
      <c r="D15" s="259"/>
      <c r="E15" s="261"/>
      <c r="F15" s="259"/>
      <c r="G15" s="261"/>
      <c r="H15" s="259"/>
      <c r="I15" s="260"/>
      <c r="J15" s="259"/>
      <c r="K15" s="261"/>
      <c r="L15" s="259"/>
      <c r="M15" s="260"/>
      <c r="N15" s="259"/>
      <c r="O15" s="261"/>
      <c r="P15" s="280"/>
      <c r="Q15" s="281"/>
      <c r="R15" s="282"/>
      <c r="S15" s="283"/>
      <c r="T15" s="282"/>
      <c r="U15" s="627"/>
      <c r="V15" s="282"/>
      <c r="W15" s="283"/>
      <c r="X15" s="282">
        <v>7.8</v>
      </c>
      <c r="Y15" s="627">
        <v>24.5</v>
      </c>
      <c r="Z15" s="282"/>
      <c r="AA15" s="283"/>
      <c r="AB15" s="259"/>
      <c r="AC15" s="260"/>
      <c r="AD15" s="259"/>
      <c r="AE15" s="261"/>
      <c r="AF15" s="259"/>
      <c r="AG15" s="260"/>
      <c r="AH15" s="258"/>
      <c r="AI15" s="261"/>
      <c r="AJ15" s="259"/>
      <c r="AK15" s="260"/>
      <c r="AL15" s="259"/>
      <c r="AM15" s="261"/>
      <c r="AN15" s="284"/>
      <c r="AO15" s="633"/>
      <c r="AP15" s="262"/>
      <c r="AQ15" s="263"/>
      <c r="AR15" s="264"/>
      <c r="AS15" s="637"/>
      <c r="AT15" s="258"/>
      <c r="AU15" s="261"/>
      <c r="AV15" s="265">
        <f t="shared" si="0"/>
        <v>7.8</v>
      </c>
      <c r="AW15" s="265">
        <f t="shared" si="1"/>
        <v>24.5</v>
      </c>
      <c r="AX15" s="264"/>
      <c r="AY15" s="637"/>
      <c r="AZ15" s="266">
        <f t="shared" si="2"/>
        <v>7.8</v>
      </c>
      <c r="BA15" s="267">
        <f t="shared" si="3"/>
        <v>24.5</v>
      </c>
    </row>
    <row r="16" spans="1:53" s="440" customFormat="1" ht="18.75" thickBot="1" x14ac:dyDescent="0.4">
      <c r="A16" s="431" t="s">
        <v>22</v>
      </c>
      <c r="B16" s="432">
        <f t="shared" ref="B16:AG16" si="4">SUM(B5:B15)</f>
        <v>491</v>
      </c>
      <c r="C16" s="433">
        <f t="shared" si="4"/>
        <v>1152</v>
      </c>
      <c r="D16" s="432">
        <f t="shared" si="4"/>
        <v>55.56</v>
      </c>
      <c r="E16" s="435">
        <f t="shared" si="4"/>
        <v>133.88</v>
      </c>
      <c r="F16" s="432">
        <f t="shared" si="4"/>
        <v>93.199999999999989</v>
      </c>
      <c r="G16" s="435">
        <f t="shared" si="4"/>
        <v>197.65</v>
      </c>
      <c r="H16" s="432">
        <f t="shared" si="4"/>
        <v>493</v>
      </c>
      <c r="I16" s="433">
        <f t="shared" si="4"/>
        <v>1457</v>
      </c>
      <c r="J16" s="432">
        <f t="shared" si="4"/>
        <v>199.42999999999998</v>
      </c>
      <c r="K16" s="435">
        <f t="shared" si="4"/>
        <v>467</v>
      </c>
      <c r="L16" s="432">
        <f t="shared" si="4"/>
        <v>278.81</v>
      </c>
      <c r="M16" s="433">
        <f t="shared" si="4"/>
        <v>830.65</v>
      </c>
      <c r="N16" s="432">
        <f t="shared" si="4"/>
        <v>128.31</v>
      </c>
      <c r="O16" s="435">
        <f t="shared" si="4"/>
        <v>358.18000000000006</v>
      </c>
      <c r="P16" s="432">
        <f t="shared" si="4"/>
        <v>136.44</v>
      </c>
      <c r="Q16" s="435">
        <f t="shared" si="4"/>
        <v>267.09999999999997</v>
      </c>
      <c r="R16" s="432">
        <f t="shared" si="4"/>
        <v>235.06</v>
      </c>
      <c r="S16" s="435">
        <f t="shared" si="4"/>
        <v>613.66999999999996</v>
      </c>
      <c r="T16" s="432">
        <f t="shared" si="4"/>
        <v>126.58999999999999</v>
      </c>
      <c r="U16" s="433">
        <f t="shared" si="4"/>
        <v>285.89999999999998</v>
      </c>
      <c r="V16" s="432">
        <f t="shared" si="4"/>
        <v>2453.48</v>
      </c>
      <c r="W16" s="435">
        <f t="shared" si="4"/>
        <v>5943.5199999999995</v>
      </c>
      <c r="X16" s="432">
        <f t="shared" si="4"/>
        <v>2404.7000000000003</v>
      </c>
      <c r="Y16" s="433">
        <f t="shared" si="4"/>
        <v>8401.9</v>
      </c>
      <c r="Z16" s="432">
        <f t="shared" si="4"/>
        <v>243.01000000000002</v>
      </c>
      <c r="AA16" s="435">
        <f t="shared" si="4"/>
        <v>731.87999999999988</v>
      </c>
      <c r="AB16" s="432">
        <f t="shared" si="4"/>
        <v>220.54999999999998</v>
      </c>
      <c r="AC16" s="433">
        <f t="shared" si="4"/>
        <v>607.08000000000004</v>
      </c>
      <c r="AD16" s="432">
        <f t="shared" si="4"/>
        <v>933.29</v>
      </c>
      <c r="AE16" s="435">
        <f t="shared" si="4"/>
        <v>1971.8200000000002</v>
      </c>
      <c r="AF16" s="432">
        <f t="shared" si="4"/>
        <v>1586.76</v>
      </c>
      <c r="AG16" s="433">
        <f t="shared" si="4"/>
        <v>3983.96</v>
      </c>
      <c r="AH16" s="434">
        <f t="shared" ref="AH16:AU16" si="5">SUM(AH5:AH15)</f>
        <v>447.89</v>
      </c>
      <c r="AI16" s="435">
        <f t="shared" si="5"/>
        <v>1254.5</v>
      </c>
      <c r="AJ16" s="432">
        <f t="shared" si="5"/>
        <v>263.94</v>
      </c>
      <c r="AK16" s="433">
        <f t="shared" si="5"/>
        <v>744.18999999999994</v>
      </c>
      <c r="AL16" s="432">
        <f t="shared" si="5"/>
        <v>0</v>
      </c>
      <c r="AM16" s="435">
        <f t="shared" si="5"/>
        <v>0</v>
      </c>
      <c r="AN16" s="432">
        <f t="shared" si="5"/>
        <v>2618</v>
      </c>
      <c r="AO16" s="433">
        <f t="shared" si="5"/>
        <v>8407</v>
      </c>
      <c r="AP16" s="432">
        <f t="shared" si="5"/>
        <v>158.94999999999999</v>
      </c>
      <c r="AQ16" s="435">
        <f t="shared" si="5"/>
        <v>465.28</v>
      </c>
      <c r="AR16" s="432">
        <f t="shared" si="5"/>
        <v>215.08</v>
      </c>
      <c r="AS16" s="433">
        <f t="shared" si="5"/>
        <v>642.79</v>
      </c>
      <c r="AT16" s="434">
        <f t="shared" si="5"/>
        <v>616.01</v>
      </c>
      <c r="AU16" s="435">
        <f t="shared" si="5"/>
        <v>1402.7800000000002</v>
      </c>
      <c r="AV16" s="436">
        <f t="shared" si="0"/>
        <v>14399.060000000001</v>
      </c>
      <c r="AW16" s="436">
        <f t="shared" si="1"/>
        <v>40319.729999999996</v>
      </c>
      <c r="AX16" s="437">
        <f>SUM(AX5:AX15)</f>
        <v>14983.929999999998</v>
      </c>
      <c r="AY16" s="822">
        <f>SUM(AY5:AY15)</f>
        <v>51773.950000000004</v>
      </c>
      <c r="AZ16" s="438">
        <f t="shared" si="2"/>
        <v>29382.989999999998</v>
      </c>
      <c r="BA16" s="439">
        <f t="shared" si="3"/>
        <v>92093.68</v>
      </c>
    </row>
    <row r="17" spans="1:53" ht="18" thickBot="1" x14ac:dyDescent="0.4">
      <c r="A17" s="285" t="s">
        <v>13</v>
      </c>
      <c r="B17" s="286"/>
      <c r="C17" s="287"/>
      <c r="D17" s="269"/>
      <c r="E17" s="271">
        <v>-0.05</v>
      </c>
      <c r="F17" s="269"/>
      <c r="G17" s="271">
        <v>0.13</v>
      </c>
      <c r="H17" s="269"/>
      <c r="I17" s="270"/>
      <c r="J17" s="269"/>
      <c r="K17" s="271"/>
      <c r="L17" s="269"/>
      <c r="M17" s="270"/>
      <c r="N17" s="269">
        <v>1.32</v>
      </c>
      <c r="O17" s="271">
        <v>3.91</v>
      </c>
      <c r="P17" s="288"/>
      <c r="Q17" s="289"/>
      <c r="R17" s="290">
        <v>13</v>
      </c>
      <c r="S17" s="291">
        <v>33.869999999999997</v>
      </c>
      <c r="T17" s="290"/>
      <c r="U17" s="628">
        <v>0.02</v>
      </c>
      <c r="V17" s="290">
        <v>0.02</v>
      </c>
      <c r="W17" s="291">
        <v>0.05</v>
      </c>
      <c r="X17" s="290"/>
      <c r="Y17" s="628"/>
      <c r="Z17" s="290"/>
      <c r="AA17" s="291"/>
      <c r="AB17" s="269"/>
      <c r="AC17" s="270"/>
      <c r="AD17" s="269">
        <v>0.02</v>
      </c>
      <c r="AE17" s="271">
        <v>0.03</v>
      </c>
      <c r="AF17" s="269"/>
      <c r="AG17" s="270"/>
      <c r="AH17" s="268">
        <v>-0.04</v>
      </c>
      <c r="AI17" s="271">
        <v>-0.09</v>
      </c>
      <c r="AJ17" s="269"/>
      <c r="AK17" s="270"/>
      <c r="AL17" s="269"/>
      <c r="AM17" s="271"/>
      <c r="AN17" s="292"/>
      <c r="AO17" s="634"/>
      <c r="AP17" s="272"/>
      <c r="AQ17" s="273"/>
      <c r="AR17" s="274"/>
      <c r="AS17" s="638"/>
      <c r="AT17" s="268"/>
      <c r="AU17" s="271"/>
      <c r="AV17" s="275">
        <f t="shared" si="0"/>
        <v>14.32</v>
      </c>
      <c r="AW17" s="275">
        <f t="shared" si="1"/>
        <v>37.869999999999997</v>
      </c>
      <c r="AX17" s="274"/>
      <c r="AY17" s="638"/>
      <c r="AZ17" s="276">
        <f t="shared" si="2"/>
        <v>14.32</v>
      </c>
      <c r="BA17" s="277">
        <f t="shared" si="3"/>
        <v>37.869999999999997</v>
      </c>
    </row>
    <row r="18" spans="1:53" s="440" customFormat="1" ht="18.75" thickBot="1" x14ac:dyDescent="0.4">
      <c r="A18" s="441" t="s">
        <v>14</v>
      </c>
      <c r="B18" s="442">
        <f t="shared" ref="B18:AG18" si="6">B16+B17</f>
        <v>491</v>
      </c>
      <c r="C18" s="443">
        <f t="shared" si="6"/>
        <v>1152</v>
      </c>
      <c r="D18" s="442">
        <f t="shared" si="6"/>
        <v>55.56</v>
      </c>
      <c r="E18" s="445">
        <f t="shared" si="6"/>
        <v>133.82999999999998</v>
      </c>
      <c r="F18" s="442">
        <f t="shared" si="6"/>
        <v>93.199999999999989</v>
      </c>
      <c r="G18" s="445">
        <f t="shared" si="6"/>
        <v>197.78</v>
      </c>
      <c r="H18" s="442">
        <f t="shared" si="6"/>
        <v>493</v>
      </c>
      <c r="I18" s="443">
        <f t="shared" si="6"/>
        <v>1457</v>
      </c>
      <c r="J18" s="442">
        <f t="shared" si="6"/>
        <v>199.42999999999998</v>
      </c>
      <c r="K18" s="445">
        <f t="shared" si="6"/>
        <v>467</v>
      </c>
      <c r="L18" s="442">
        <f t="shared" si="6"/>
        <v>278.81</v>
      </c>
      <c r="M18" s="443">
        <f t="shared" si="6"/>
        <v>830.65</v>
      </c>
      <c r="N18" s="442">
        <f t="shared" si="6"/>
        <v>129.63</v>
      </c>
      <c r="O18" s="445">
        <f t="shared" si="6"/>
        <v>362.09000000000009</v>
      </c>
      <c r="P18" s="442">
        <f t="shared" si="6"/>
        <v>136.44</v>
      </c>
      <c r="Q18" s="445">
        <f t="shared" si="6"/>
        <v>267.09999999999997</v>
      </c>
      <c r="R18" s="442">
        <f t="shared" si="6"/>
        <v>248.06</v>
      </c>
      <c r="S18" s="445">
        <f t="shared" si="6"/>
        <v>647.54</v>
      </c>
      <c r="T18" s="442">
        <f t="shared" si="6"/>
        <v>126.58999999999999</v>
      </c>
      <c r="U18" s="443">
        <f t="shared" si="6"/>
        <v>285.91999999999996</v>
      </c>
      <c r="V18" s="442">
        <f t="shared" si="6"/>
        <v>2453.5</v>
      </c>
      <c r="W18" s="445">
        <f t="shared" si="6"/>
        <v>5943.57</v>
      </c>
      <c r="X18" s="442">
        <f t="shared" si="6"/>
        <v>2404.7000000000003</v>
      </c>
      <c r="Y18" s="443">
        <f t="shared" si="6"/>
        <v>8401.9</v>
      </c>
      <c r="Z18" s="442">
        <f t="shared" si="6"/>
        <v>243.01000000000002</v>
      </c>
      <c r="AA18" s="445">
        <f t="shared" si="6"/>
        <v>731.87999999999988</v>
      </c>
      <c r="AB18" s="442">
        <f t="shared" si="6"/>
        <v>220.54999999999998</v>
      </c>
      <c r="AC18" s="443">
        <f t="shared" si="6"/>
        <v>607.08000000000004</v>
      </c>
      <c r="AD18" s="442">
        <f t="shared" si="6"/>
        <v>933.31</v>
      </c>
      <c r="AE18" s="445">
        <f t="shared" si="6"/>
        <v>1971.8500000000001</v>
      </c>
      <c r="AF18" s="442">
        <f t="shared" si="6"/>
        <v>1586.76</v>
      </c>
      <c r="AG18" s="443">
        <f t="shared" si="6"/>
        <v>3983.96</v>
      </c>
      <c r="AH18" s="444">
        <f t="shared" ref="AH18:AU18" si="7">AH16+AH17</f>
        <v>447.84999999999997</v>
      </c>
      <c r="AI18" s="445">
        <f t="shared" si="7"/>
        <v>1254.4100000000001</v>
      </c>
      <c r="AJ18" s="442">
        <f t="shared" si="7"/>
        <v>263.94</v>
      </c>
      <c r="AK18" s="443">
        <f t="shared" si="7"/>
        <v>744.18999999999994</v>
      </c>
      <c r="AL18" s="442">
        <f t="shared" si="7"/>
        <v>0</v>
      </c>
      <c r="AM18" s="445">
        <f t="shared" si="7"/>
        <v>0</v>
      </c>
      <c r="AN18" s="442">
        <f t="shared" si="7"/>
        <v>2618</v>
      </c>
      <c r="AO18" s="443">
        <f t="shared" si="7"/>
        <v>8407</v>
      </c>
      <c r="AP18" s="442">
        <f t="shared" si="7"/>
        <v>158.94999999999999</v>
      </c>
      <c r="AQ18" s="445">
        <f t="shared" si="7"/>
        <v>465.28</v>
      </c>
      <c r="AR18" s="442">
        <f t="shared" si="7"/>
        <v>215.08</v>
      </c>
      <c r="AS18" s="443">
        <f t="shared" si="7"/>
        <v>642.79</v>
      </c>
      <c r="AT18" s="444">
        <f t="shared" si="7"/>
        <v>616.01</v>
      </c>
      <c r="AU18" s="445">
        <f t="shared" si="7"/>
        <v>1402.7800000000002</v>
      </c>
      <c r="AV18" s="446">
        <f t="shared" si="0"/>
        <v>14413.380000000003</v>
      </c>
      <c r="AW18" s="446">
        <f t="shared" si="1"/>
        <v>40357.599999999999</v>
      </c>
      <c r="AX18" s="447">
        <f>AX16+AX17</f>
        <v>14983.929999999998</v>
      </c>
      <c r="AY18" s="823">
        <f>AY16+AY17</f>
        <v>51773.950000000004</v>
      </c>
      <c r="AZ18" s="447">
        <f t="shared" si="2"/>
        <v>29397.31</v>
      </c>
      <c r="BA18" s="448">
        <f t="shared" si="3"/>
        <v>92131.55</v>
      </c>
    </row>
    <row r="19" spans="1:53" x14ac:dyDescent="0.3">
      <c r="AT19" s="90"/>
      <c r="AU19" s="90"/>
    </row>
  </sheetData>
  <mergeCells count="29">
    <mergeCell ref="A1:AZ1"/>
    <mergeCell ref="A2:AZ2"/>
    <mergeCell ref="A3:A4"/>
    <mergeCell ref="AX3:AY3"/>
    <mergeCell ref="AZ3:BA3"/>
    <mergeCell ref="N3:O3"/>
    <mergeCell ref="AN3:AO3"/>
    <mergeCell ref="AP3:AQ3"/>
    <mergeCell ref="AT3:AU3"/>
    <mergeCell ref="AR3:AS3"/>
    <mergeCell ref="AV3:AW3"/>
    <mergeCell ref="B3:C3"/>
    <mergeCell ref="D3:E3"/>
    <mergeCell ref="F3:G3"/>
    <mergeCell ref="H3:I3"/>
    <mergeCell ref="J3:K3"/>
    <mergeCell ref="L3:M3"/>
    <mergeCell ref="P3:Q3"/>
    <mergeCell ref="R3:S3"/>
    <mergeCell ref="T3:U3"/>
    <mergeCell ref="AH3:AI3"/>
    <mergeCell ref="AJ3:AK3"/>
    <mergeCell ref="AL3:AM3"/>
    <mergeCell ref="V3:W3"/>
    <mergeCell ref="X3:Y3"/>
    <mergeCell ref="Z3:AA3"/>
    <mergeCell ref="AB3:AC3"/>
    <mergeCell ref="AD3:AE3"/>
    <mergeCell ref="AF3:A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B20"/>
  <sheetViews>
    <sheetView workbookViewId="0">
      <pane xSplit="1" topLeftCell="B1" activePane="topRight" state="frozen"/>
      <selection pane="topRight" activeCell="A3" sqref="A3:A4"/>
    </sheetView>
    <sheetView tabSelected="1" topLeftCell="AR1" workbookViewId="1">
      <selection activeCell="BB3" sqref="BB3"/>
    </sheetView>
  </sheetViews>
  <sheetFormatPr defaultRowHeight="14.25" x14ac:dyDescent="0.3"/>
  <cols>
    <col min="1" max="1" width="22.28515625" style="10" bestFit="1" customWidth="1"/>
    <col min="2" max="2" width="11.42578125" style="10" bestFit="1" customWidth="1"/>
    <col min="3" max="3" width="12.42578125" style="10" bestFit="1" customWidth="1"/>
    <col min="4" max="4" width="11.42578125" style="10" bestFit="1" customWidth="1"/>
    <col min="5" max="5" width="12.42578125" style="10" bestFit="1" customWidth="1"/>
    <col min="6" max="6" width="11.42578125" style="10" bestFit="1" customWidth="1"/>
    <col min="7" max="7" width="12.42578125" style="10" bestFit="1" customWidth="1"/>
    <col min="8" max="8" width="11.42578125" style="10" bestFit="1" customWidth="1"/>
    <col min="9" max="9" width="12.42578125" style="10" bestFit="1" customWidth="1"/>
    <col min="10" max="10" width="11.42578125" style="10" bestFit="1" customWidth="1"/>
    <col min="11" max="11" width="12.42578125" style="10" bestFit="1" customWidth="1"/>
    <col min="12" max="12" width="11.42578125" style="10" bestFit="1" customWidth="1"/>
    <col min="13" max="13" width="12.42578125" style="10" bestFit="1" customWidth="1"/>
    <col min="14" max="14" width="11.42578125" style="10" bestFit="1" customWidth="1"/>
    <col min="15" max="15" width="12.42578125" style="10" bestFit="1" customWidth="1"/>
    <col min="16" max="16" width="11.42578125" style="10" bestFit="1" customWidth="1"/>
    <col min="17" max="17" width="12.42578125" style="10" bestFit="1" customWidth="1"/>
    <col min="18" max="18" width="11.42578125" style="10" bestFit="1" customWidth="1"/>
    <col min="19" max="19" width="12.42578125" style="10" bestFit="1" customWidth="1"/>
    <col min="20" max="20" width="11.42578125" style="10" bestFit="1" customWidth="1"/>
    <col min="21" max="21" width="12.42578125" style="10" bestFit="1" customWidth="1"/>
    <col min="22" max="22" width="11.42578125" style="10" bestFit="1" customWidth="1"/>
    <col min="23" max="23" width="12.42578125" style="10" bestFit="1" customWidth="1"/>
    <col min="24" max="24" width="11.42578125" style="10" bestFit="1" customWidth="1"/>
    <col min="25" max="25" width="12.42578125" style="10" bestFit="1" customWidth="1"/>
    <col min="26" max="26" width="11.42578125" style="36" bestFit="1" customWidth="1"/>
    <col min="27" max="27" width="12.42578125" style="36" bestFit="1" customWidth="1"/>
    <col min="28" max="28" width="11.42578125" style="10" bestFit="1" customWidth="1"/>
    <col min="29" max="29" width="12.42578125" style="10" bestFit="1" customWidth="1"/>
    <col min="30" max="30" width="11.42578125" style="10" bestFit="1" customWidth="1"/>
    <col min="31" max="31" width="12.42578125" style="10" bestFit="1" customWidth="1"/>
    <col min="32" max="32" width="11.42578125" style="10" bestFit="1" customWidth="1"/>
    <col min="33" max="33" width="12.42578125" style="10" bestFit="1" customWidth="1"/>
    <col min="34" max="34" width="11.42578125" style="10" bestFit="1" customWidth="1"/>
    <col min="35" max="35" width="12.42578125" style="10" bestFit="1" customWidth="1"/>
    <col min="36" max="36" width="11.42578125" style="10" bestFit="1" customWidth="1"/>
    <col min="37" max="37" width="12.42578125" style="10" bestFit="1" customWidth="1"/>
    <col min="38" max="38" width="11.42578125" style="10" bestFit="1" customWidth="1"/>
    <col min="39" max="39" width="12.42578125" style="10" bestFit="1" customWidth="1"/>
    <col min="40" max="40" width="11.42578125" style="10" bestFit="1" customWidth="1"/>
    <col min="41" max="41" width="12.42578125" style="10" bestFit="1" customWidth="1"/>
    <col min="42" max="42" width="11.42578125" style="10" customWidth="1"/>
    <col min="43" max="43" width="12.42578125" style="10" bestFit="1" customWidth="1"/>
    <col min="44" max="44" width="11.42578125" style="10" bestFit="1" customWidth="1"/>
    <col min="45" max="45" width="12.42578125" style="10" bestFit="1" customWidth="1"/>
    <col min="46" max="46" width="11.42578125" style="10" bestFit="1" customWidth="1"/>
    <col min="47" max="47" width="12.42578125" style="10" bestFit="1" customWidth="1"/>
    <col min="48" max="48" width="11.42578125" style="10" bestFit="1" customWidth="1"/>
    <col min="49" max="49" width="12.42578125" style="10" bestFit="1" customWidth="1"/>
    <col min="50" max="50" width="11.42578125" style="10" bestFit="1" customWidth="1"/>
    <col min="51" max="51" width="12.42578125" style="10" bestFit="1" customWidth="1"/>
    <col min="52" max="52" width="11.42578125" style="10" bestFit="1" customWidth="1"/>
    <col min="53" max="53" width="12.42578125" style="10" bestFit="1" customWidth="1"/>
    <col min="54" max="54" width="9.5703125" style="10" bestFit="1" customWidth="1"/>
    <col min="55" max="16384" width="9.140625" style="10"/>
  </cols>
  <sheetData>
    <row r="1" spans="1:54" ht="28.5" customHeight="1" x14ac:dyDescent="0.3">
      <c r="A1" s="1026" t="s">
        <v>154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  <c r="N1" s="1026"/>
      <c r="O1" s="1026"/>
      <c r="P1" s="1026"/>
      <c r="Q1" s="1026"/>
      <c r="R1" s="1026"/>
      <c r="S1" s="1026"/>
      <c r="T1" s="1026"/>
      <c r="U1" s="1026"/>
      <c r="V1" s="1026"/>
      <c r="W1" s="1026"/>
      <c r="X1" s="1026"/>
      <c r="Y1" s="1026"/>
      <c r="Z1" s="1026"/>
      <c r="AA1" s="1026"/>
      <c r="AB1" s="1026"/>
      <c r="AC1" s="1026"/>
      <c r="AD1" s="1026"/>
      <c r="AE1" s="1026"/>
      <c r="AF1" s="1026"/>
      <c r="AG1" s="1026"/>
      <c r="AH1" s="1026"/>
      <c r="AI1" s="1026"/>
      <c r="AJ1" s="1026"/>
      <c r="AK1" s="1026"/>
      <c r="AL1" s="1026"/>
      <c r="AM1" s="1026"/>
      <c r="AN1" s="1026"/>
      <c r="AO1" s="1026"/>
      <c r="AP1" s="1026"/>
      <c r="AQ1" s="1026"/>
      <c r="AR1" s="1026"/>
      <c r="AS1" s="1026"/>
      <c r="AT1" s="1026"/>
      <c r="AU1" s="1026"/>
      <c r="AV1" s="1026"/>
      <c r="AW1" s="1026"/>
      <c r="AX1" s="1026"/>
      <c r="AY1" s="1026"/>
      <c r="AZ1" s="1026"/>
      <c r="BA1" s="41"/>
    </row>
    <row r="2" spans="1:54" ht="15" thickBot="1" x14ac:dyDescent="0.35">
      <c r="A2" s="981"/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  <c r="AF2" s="981"/>
      <c r="AG2" s="981"/>
      <c r="AH2" s="981"/>
      <c r="AI2" s="981"/>
      <c r="AJ2" s="981"/>
      <c r="AK2" s="981"/>
      <c r="AL2" s="981"/>
      <c r="AM2" s="981"/>
      <c r="AN2" s="981"/>
      <c r="AO2" s="981"/>
      <c r="AP2" s="981"/>
      <c r="AQ2" s="981"/>
      <c r="AR2" s="981"/>
      <c r="AS2" s="981"/>
      <c r="AT2" s="981"/>
      <c r="AU2" s="981"/>
      <c r="AV2" s="981"/>
      <c r="AW2" s="981"/>
      <c r="AX2" s="981"/>
      <c r="AY2" s="981"/>
      <c r="AZ2" s="981"/>
      <c r="BA2" s="42"/>
    </row>
    <row r="3" spans="1:54" ht="42.75" customHeight="1" thickBot="1" x14ac:dyDescent="0.35">
      <c r="A3" s="1027" t="s">
        <v>16</v>
      </c>
      <c r="B3" s="1029" t="s">
        <v>155</v>
      </c>
      <c r="C3" s="1030"/>
      <c r="D3" s="1021" t="s">
        <v>156</v>
      </c>
      <c r="E3" s="1022"/>
      <c r="F3" s="1021" t="s">
        <v>157</v>
      </c>
      <c r="G3" s="1022"/>
      <c r="H3" s="1021" t="s">
        <v>158</v>
      </c>
      <c r="I3" s="1022"/>
      <c r="J3" s="1021" t="s">
        <v>159</v>
      </c>
      <c r="K3" s="1022"/>
      <c r="L3" s="1021" t="s">
        <v>160</v>
      </c>
      <c r="M3" s="1022"/>
      <c r="N3" s="1021" t="s">
        <v>161</v>
      </c>
      <c r="O3" s="1022"/>
      <c r="P3" s="1021" t="s">
        <v>162</v>
      </c>
      <c r="Q3" s="1022"/>
      <c r="R3" s="1021" t="s">
        <v>163</v>
      </c>
      <c r="S3" s="1022"/>
      <c r="T3" s="1021" t="s">
        <v>164</v>
      </c>
      <c r="U3" s="1022"/>
      <c r="V3" s="1021" t="s">
        <v>165</v>
      </c>
      <c r="W3" s="1022"/>
      <c r="X3" s="1021" t="s">
        <v>166</v>
      </c>
      <c r="Y3" s="1022"/>
      <c r="Z3" s="934" t="s">
        <v>167</v>
      </c>
      <c r="AA3" s="935"/>
      <c r="AB3" s="1021" t="s">
        <v>168</v>
      </c>
      <c r="AC3" s="1022"/>
      <c r="AD3" s="1023" t="s">
        <v>169</v>
      </c>
      <c r="AE3" s="1024"/>
      <c r="AF3" s="1021" t="s">
        <v>170</v>
      </c>
      <c r="AG3" s="1022"/>
      <c r="AH3" s="1021" t="s">
        <v>171</v>
      </c>
      <c r="AI3" s="1022"/>
      <c r="AJ3" s="1021" t="s">
        <v>172</v>
      </c>
      <c r="AK3" s="1025"/>
      <c r="AL3" s="1023" t="s">
        <v>173</v>
      </c>
      <c r="AM3" s="1024"/>
      <c r="AN3" s="1021" t="s">
        <v>174</v>
      </c>
      <c r="AO3" s="1022"/>
      <c r="AP3" s="1021" t="s">
        <v>175</v>
      </c>
      <c r="AQ3" s="1022"/>
      <c r="AR3" s="1021" t="s">
        <v>176</v>
      </c>
      <c r="AS3" s="1022"/>
      <c r="AT3" s="1021" t="s">
        <v>177</v>
      </c>
      <c r="AU3" s="1022"/>
      <c r="AV3" s="1021" t="s">
        <v>1</v>
      </c>
      <c r="AW3" s="1022"/>
      <c r="AX3" s="1023" t="s">
        <v>178</v>
      </c>
      <c r="AY3" s="1024"/>
      <c r="AZ3" s="1023" t="s">
        <v>2</v>
      </c>
      <c r="BA3" s="1024"/>
    </row>
    <row r="4" spans="1:54" ht="15" thickBot="1" x14ac:dyDescent="0.35">
      <c r="A4" s="1028"/>
      <c r="B4" s="925" t="s">
        <v>180</v>
      </c>
      <c r="C4" s="780" t="s">
        <v>181</v>
      </c>
      <c r="D4" s="779" t="s">
        <v>180</v>
      </c>
      <c r="E4" s="780" t="s">
        <v>181</v>
      </c>
      <c r="F4" s="779" t="s">
        <v>180</v>
      </c>
      <c r="G4" s="780" t="s">
        <v>181</v>
      </c>
      <c r="H4" s="779" t="s">
        <v>180</v>
      </c>
      <c r="I4" s="780" t="s">
        <v>181</v>
      </c>
      <c r="J4" s="779" t="s">
        <v>180</v>
      </c>
      <c r="K4" s="780" t="s">
        <v>181</v>
      </c>
      <c r="L4" s="779" t="s">
        <v>180</v>
      </c>
      <c r="M4" s="780" t="s">
        <v>181</v>
      </c>
      <c r="N4" s="779" t="s">
        <v>180</v>
      </c>
      <c r="O4" s="780" t="s">
        <v>181</v>
      </c>
      <c r="P4" s="779" t="s">
        <v>180</v>
      </c>
      <c r="Q4" s="780" t="s">
        <v>181</v>
      </c>
      <c r="R4" s="779" t="s">
        <v>180</v>
      </c>
      <c r="S4" s="780" t="s">
        <v>181</v>
      </c>
      <c r="T4" s="779" t="s">
        <v>180</v>
      </c>
      <c r="U4" s="780" t="s">
        <v>181</v>
      </c>
      <c r="V4" s="779" t="s">
        <v>180</v>
      </c>
      <c r="W4" s="780" t="s">
        <v>181</v>
      </c>
      <c r="X4" s="779" t="s">
        <v>180</v>
      </c>
      <c r="Y4" s="780" t="s">
        <v>181</v>
      </c>
      <c r="Z4" s="779" t="s">
        <v>180</v>
      </c>
      <c r="AA4" s="780" t="s">
        <v>181</v>
      </c>
      <c r="AB4" s="779" t="s">
        <v>180</v>
      </c>
      <c r="AC4" s="780" t="s">
        <v>181</v>
      </c>
      <c r="AD4" s="779" t="s">
        <v>180</v>
      </c>
      <c r="AE4" s="780" t="s">
        <v>181</v>
      </c>
      <c r="AF4" s="779" t="s">
        <v>180</v>
      </c>
      <c r="AG4" s="780" t="s">
        <v>181</v>
      </c>
      <c r="AH4" s="779" t="s">
        <v>180</v>
      </c>
      <c r="AI4" s="780" t="s">
        <v>181</v>
      </c>
      <c r="AJ4" s="779" t="s">
        <v>180</v>
      </c>
      <c r="AK4" s="779" t="s">
        <v>181</v>
      </c>
      <c r="AL4" s="925" t="s">
        <v>180</v>
      </c>
      <c r="AM4" s="780" t="s">
        <v>181</v>
      </c>
      <c r="AN4" s="779" t="s">
        <v>180</v>
      </c>
      <c r="AO4" s="780" t="s">
        <v>181</v>
      </c>
      <c r="AP4" s="779" t="s">
        <v>180</v>
      </c>
      <c r="AQ4" s="780" t="s">
        <v>181</v>
      </c>
      <c r="AR4" s="779" t="s">
        <v>180</v>
      </c>
      <c r="AS4" s="780" t="s">
        <v>181</v>
      </c>
      <c r="AT4" s="779" t="s">
        <v>180</v>
      </c>
      <c r="AU4" s="780" t="s">
        <v>181</v>
      </c>
      <c r="AV4" s="779" t="s">
        <v>180</v>
      </c>
      <c r="AW4" s="780" t="s">
        <v>181</v>
      </c>
      <c r="AX4" s="779" t="s">
        <v>180</v>
      </c>
      <c r="AY4" s="780" t="s">
        <v>181</v>
      </c>
      <c r="AZ4" s="779" t="s">
        <v>180</v>
      </c>
      <c r="BA4" s="780" t="s">
        <v>181</v>
      </c>
    </row>
    <row r="5" spans="1:54" ht="15" x14ac:dyDescent="0.3">
      <c r="A5" s="43" t="s">
        <v>5</v>
      </c>
      <c r="B5" s="926">
        <v>55172</v>
      </c>
      <c r="C5" s="44">
        <v>172723</v>
      </c>
      <c r="D5" s="46">
        <v>-10</v>
      </c>
      <c r="E5" s="47">
        <v>-42</v>
      </c>
      <c r="F5" s="46">
        <v>11189</v>
      </c>
      <c r="G5" s="47">
        <v>22900</v>
      </c>
      <c r="H5" s="46">
        <v>52733</v>
      </c>
      <c r="I5" s="47">
        <v>180636</v>
      </c>
      <c r="J5" s="46">
        <v>19518</v>
      </c>
      <c r="K5" s="47">
        <v>51185</v>
      </c>
      <c r="L5" s="40"/>
      <c r="M5" s="48"/>
      <c r="N5" s="46">
        <v>8481</v>
      </c>
      <c r="O5" s="47">
        <v>27744</v>
      </c>
      <c r="P5" s="46">
        <v>19040</v>
      </c>
      <c r="Q5" s="47">
        <v>43420</v>
      </c>
      <c r="R5" s="46">
        <v>30708</v>
      </c>
      <c r="S5" s="47">
        <v>97253</v>
      </c>
      <c r="T5" s="46">
        <v>4945</v>
      </c>
      <c r="U5" s="47">
        <v>14667</v>
      </c>
      <c r="V5" s="46">
        <v>49266</v>
      </c>
      <c r="W5" s="47">
        <v>139067</v>
      </c>
      <c r="X5" s="46">
        <v>55185</v>
      </c>
      <c r="Y5" s="47">
        <v>201789</v>
      </c>
      <c r="Z5" s="39">
        <v>3088</v>
      </c>
      <c r="AA5" s="49">
        <v>9843</v>
      </c>
      <c r="AB5" s="46">
        <v>4429</v>
      </c>
      <c r="AC5" s="47">
        <v>8766</v>
      </c>
      <c r="AD5" s="46">
        <v>49447</v>
      </c>
      <c r="AE5" s="47">
        <v>146698</v>
      </c>
      <c r="AF5" s="46">
        <v>42096</v>
      </c>
      <c r="AG5" s="47">
        <v>129846</v>
      </c>
      <c r="AH5" s="46">
        <v>3586</v>
      </c>
      <c r="AI5" s="47">
        <v>9470</v>
      </c>
      <c r="AJ5" s="204">
        <v>45232</v>
      </c>
      <c r="AK5" s="359">
        <v>141472</v>
      </c>
      <c r="AL5" s="353"/>
      <c r="AM5" s="320"/>
      <c r="AN5" s="356">
        <v>186704</v>
      </c>
      <c r="AO5" s="357">
        <v>526055</v>
      </c>
      <c r="AP5" s="50">
        <v>2484</v>
      </c>
      <c r="AQ5" s="51">
        <v>10755</v>
      </c>
      <c r="AR5" s="52">
        <v>275</v>
      </c>
      <c r="AS5" s="53">
        <v>821</v>
      </c>
      <c r="AT5" s="46">
        <v>42166</v>
      </c>
      <c r="AU5" s="47">
        <v>100874</v>
      </c>
      <c r="AV5" s="37">
        <f t="shared" ref="AV5:AV18" si="0">SUM(B5+D5+F5+H5+J5+L5+N5+P5+R5+T5+V5+X5+Z5+AB5+AD5+AF5+AH5+AJ5+AL5+AN5+AP5+AR5+AT5)</f>
        <v>685734</v>
      </c>
      <c r="AW5" s="230">
        <f t="shared" ref="AW5:AW18" si="1">SUM(C5+E5+G5+I5+K5+M5+O5+Q5+S5+U5+W5+Y5+AA5+AC5+AE5+AG5+AI5+AK5+AM5+AO5+AQ5+AS5+AU5)</f>
        <v>2035942</v>
      </c>
      <c r="AX5" s="52">
        <v>8001491</v>
      </c>
      <c r="AY5" s="53">
        <v>20466518</v>
      </c>
      <c r="AZ5" s="54">
        <f t="shared" ref="AZ5:AZ18" si="2">AV5+AX5</f>
        <v>8687225</v>
      </c>
      <c r="BA5" s="55">
        <f t="shared" ref="BA5:BA18" si="3">AW5+AY5</f>
        <v>22502460</v>
      </c>
      <c r="BB5" s="56"/>
    </row>
    <row r="6" spans="1:54" ht="15" x14ac:dyDescent="0.3">
      <c r="A6" s="43" t="s">
        <v>6</v>
      </c>
      <c r="B6" s="57">
        <v>10391</v>
      </c>
      <c r="C6" s="58">
        <v>24516</v>
      </c>
      <c r="D6" s="19">
        <v>449</v>
      </c>
      <c r="E6" s="22">
        <v>920</v>
      </c>
      <c r="F6" s="19">
        <v>935</v>
      </c>
      <c r="G6" s="22">
        <v>3716</v>
      </c>
      <c r="H6" s="19">
        <v>22780</v>
      </c>
      <c r="I6" s="22">
        <v>74484</v>
      </c>
      <c r="J6" s="19">
        <v>28</v>
      </c>
      <c r="K6" s="22">
        <v>73</v>
      </c>
      <c r="L6" s="19">
        <v>31014</v>
      </c>
      <c r="M6" s="22">
        <v>101811</v>
      </c>
      <c r="N6" s="19">
        <v>1714</v>
      </c>
      <c r="O6" s="22">
        <v>4044</v>
      </c>
      <c r="P6" s="19">
        <v>2175</v>
      </c>
      <c r="Q6" s="22">
        <v>4761</v>
      </c>
      <c r="R6" s="19">
        <v>4988</v>
      </c>
      <c r="S6" s="22">
        <v>11284</v>
      </c>
      <c r="T6" s="19">
        <v>839</v>
      </c>
      <c r="U6" s="22">
        <v>2796</v>
      </c>
      <c r="V6" s="19">
        <v>183732</v>
      </c>
      <c r="W6" s="22">
        <v>514538</v>
      </c>
      <c r="X6" s="19">
        <v>117183</v>
      </c>
      <c r="Y6" s="22">
        <v>393720</v>
      </c>
      <c r="Z6" s="23">
        <v>31922</v>
      </c>
      <c r="AA6" s="24">
        <v>99941</v>
      </c>
      <c r="AB6" s="19">
        <v>45567</v>
      </c>
      <c r="AC6" s="22">
        <v>129021</v>
      </c>
      <c r="AD6" s="19">
        <v>52614</v>
      </c>
      <c r="AE6" s="22">
        <v>106462</v>
      </c>
      <c r="AF6" s="19">
        <v>140802</v>
      </c>
      <c r="AG6" s="22">
        <v>339124</v>
      </c>
      <c r="AH6" s="19">
        <v>46420</v>
      </c>
      <c r="AI6" s="22">
        <v>154047</v>
      </c>
      <c r="AJ6" s="204">
        <v>3221</v>
      </c>
      <c r="AK6" s="20">
        <v>3502</v>
      </c>
      <c r="AL6" s="1"/>
      <c r="AM6" s="3"/>
      <c r="AN6" s="17">
        <v>253899</v>
      </c>
      <c r="AO6" s="18">
        <v>878615</v>
      </c>
      <c r="AP6" s="25">
        <v>162</v>
      </c>
      <c r="AQ6" s="26">
        <v>247</v>
      </c>
      <c r="AR6" s="27">
        <v>33431</v>
      </c>
      <c r="AS6" s="28">
        <v>111298</v>
      </c>
      <c r="AT6" s="19">
        <v>27417</v>
      </c>
      <c r="AU6" s="22">
        <v>59846</v>
      </c>
      <c r="AV6" s="37">
        <f t="shared" si="0"/>
        <v>1011683</v>
      </c>
      <c r="AW6" s="230">
        <f t="shared" si="1"/>
        <v>3018766</v>
      </c>
      <c r="AX6" s="27">
        <v>71363</v>
      </c>
      <c r="AY6" s="28">
        <v>180614</v>
      </c>
      <c r="AZ6" s="54">
        <f t="shared" si="2"/>
        <v>1083046</v>
      </c>
      <c r="BA6" s="55">
        <f t="shared" si="3"/>
        <v>3199380</v>
      </c>
    </row>
    <row r="7" spans="1:54" ht="15" x14ac:dyDescent="0.3">
      <c r="A7" s="43" t="s">
        <v>7</v>
      </c>
      <c r="B7" s="57">
        <v>1613</v>
      </c>
      <c r="C7" s="58">
        <v>4935</v>
      </c>
      <c r="D7" s="19">
        <v>690</v>
      </c>
      <c r="E7" s="22">
        <v>4027</v>
      </c>
      <c r="F7" s="19">
        <v>481</v>
      </c>
      <c r="G7" s="22">
        <v>792</v>
      </c>
      <c r="H7" s="19">
        <v>5209</v>
      </c>
      <c r="I7" s="22">
        <v>11453</v>
      </c>
      <c r="J7" s="19">
        <v>3607</v>
      </c>
      <c r="K7" s="22">
        <v>8493</v>
      </c>
      <c r="L7" s="19">
        <v>41</v>
      </c>
      <c r="M7" s="22">
        <v>41</v>
      </c>
      <c r="N7" s="19">
        <v>7376</v>
      </c>
      <c r="O7" s="22">
        <v>16701</v>
      </c>
      <c r="P7" s="19">
        <v>1344</v>
      </c>
      <c r="Q7" s="22">
        <v>3418</v>
      </c>
      <c r="R7" s="19">
        <v>3510</v>
      </c>
      <c r="S7" s="22">
        <v>14038</v>
      </c>
      <c r="T7" s="19">
        <v>1653</v>
      </c>
      <c r="U7" s="22">
        <v>5153</v>
      </c>
      <c r="V7" s="19">
        <v>25176</v>
      </c>
      <c r="W7" s="22">
        <v>67884</v>
      </c>
      <c r="X7" s="19">
        <v>16624</v>
      </c>
      <c r="Y7" s="22">
        <v>63415</v>
      </c>
      <c r="Z7" s="23"/>
      <c r="AA7" s="24"/>
      <c r="AB7" s="19">
        <v>4270</v>
      </c>
      <c r="AC7" s="22">
        <v>13767</v>
      </c>
      <c r="AD7" s="19">
        <v>218</v>
      </c>
      <c r="AE7" s="22">
        <v>2144</v>
      </c>
      <c r="AF7" s="19">
        <v>5421</v>
      </c>
      <c r="AG7" s="22">
        <v>13486</v>
      </c>
      <c r="AH7" s="19">
        <v>72</v>
      </c>
      <c r="AI7" s="22">
        <v>95</v>
      </c>
      <c r="AJ7" s="204">
        <v>943</v>
      </c>
      <c r="AK7" s="20">
        <v>9422</v>
      </c>
      <c r="AL7" s="1"/>
      <c r="AM7" s="3"/>
      <c r="AN7" s="17">
        <v>4518</v>
      </c>
      <c r="AO7" s="18">
        <v>12114</v>
      </c>
      <c r="AP7" s="25">
        <v>57380</v>
      </c>
      <c r="AQ7" s="26">
        <v>156888</v>
      </c>
      <c r="AR7" s="27"/>
      <c r="AS7" s="28"/>
      <c r="AT7" s="19">
        <v>1175</v>
      </c>
      <c r="AU7" s="22">
        <v>2115</v>
      </c>
      <c r="AV7" s="37">
        <f t="shared" si="0"/>
        <v>141321</v>
      </c>
      <c r="AW7" s="230">
        <f t="shared" si="1"/>
        <v>410381</v>
      </c>
      <c r="AX7" s="27">
        <v>8209</v>
      </c>
      <c r="AY7" s="28">
        <v>28266</v>
      </c>
      <c r="AZ7" s="54">
        <f t="shared" si="2"/>
        <v>149530</v>
      </c>
      <c r="BA7" s="55">
        <f t="shared" si="3"/>
        <v>438647</v>
      </c>
    </row>
    <row r="8" spans="1:54" ht="15" x14ac:dyDescent="0.3">
      <c r="A8" s="43" t="s">
        <v>8</v>
      </c>
      <c r="B8" s="57">
        <v>1680</v>
      </c>
      <c r="C8" s="58">
        <v>4567</v>
      </c>
      <c r="D8" s="19">
        <v>341</v>
      </c>
      <c r="E8" s="22">
        <v>833</v>
      </c>
      <c r="F8" s="19">
        <v>634</v>
      </c>
      <c r="G8" s="22">
        <v>1117</v>
      </c>
      <c r="H8" s="19">
        <v>4194</v>
      </c>
      <c r="I8" s="22">
        <v>10485</v>
      </c>
      <c r="J8" s="19">
        <v>11567</v>
      </c>
      <c r="K8" s="22">
        <v>31312</v>
      </c>
      <c r="L8" s="19"/>
      <c r="M8" s="22"/>
      <c r="N8" s="19">
        <v>-3</v>
      </c>
      <c r="O8" s="22">
        <v>-46</v>
      </c>
      <c r="P8" s="19">
        <v>382</v>
      </c>
      <c r="Q8" s="22">
        <v>816</v>
      </c>
      <c r="R8" s="19">
        <v>15603</v>
      </c>
      <c r="S8" s="22">
        <v>48287</v>
      </c>
      <c r="T8" s="19">
        <v>1306</v>
      </c>
      <c r="U8" s="22">
        <v>6819</v>
      </c>
      <c r="V8" s="19">
        <v>12401</v>
      </c>
      <c r="W8" s="22">
        <v>44496</v>
      </c>
      <c r="X8" s="19">
        <v>13529</v>
      </c>
      <c r="Y8" s="22">
        <v>40047</v>
      </c>
      <c r="Z8" s="23">
        <v>1667</v>
      </c>
      <c r="AA8" s="24">
        <v>4585</v>
      </c>
      <c r="AB8" s="19">
        <v>923</v>
      </c>
      <c r="AC8" s="22">
        <v>1983</v>
      </c>
      <c r="AD8" s="19">
        <v>1799</v>
      </c>
      <c r="AE8" s="22">
        <v>5467</v>
      </c>
      <c r="AF8" s="19">
        <v>-7</v>
      </c>
      <c r="AG8" s="22">
        <v>-24</v>
      </c>
      <c r="AH8" s="19">
        <v>499</v>
      </c>
      <c r="AI8" s="22">
        <v>1604</v>
      </c>
      <c r="AJ8" s="204">
        <v>3538</v>
      </c>
      <c r="AK8" s="20">
        <v>10006</v>
      </c>
      <c r="AL8" s="1"/>
      <c r="AM8" s="3"/>
      <c r="AN8" s="355">
        <v>87</v>
      </c>
      <c r="AO8" s="358">
        <v>274</v>
      </c>
      <c r="AP8" s="25">
        <v>2902</v>
      </c>
      <c r="AQ8" s="26">
        <v>6241</v>
      </c>
      <c r="AR8" s="27">
        <v>-2</v>
      </c>
      <c r="AS8" s="28">
        <v>-5</v>
      </c>
      <c r="AT8" s="19">
        <v>4827</v>
      </c>
      <c r="AU8" s="22">
        <v>17805</v>
      </c>
      <c r="AV8" s="37">
        <f t="shared" si="0"/>
        <v>77867</v>
      </c>
      <c r="AW8" s="230">
        <f t="shared" si="1"/>
        <v>236669</v>
      </c>
      <c r="AX8" s="27">
        <v>382</v>
      </c>
      <c r="AY8" s="28">
        <v>1476</v>
      </c>
      <c r="AZ8" s="54">
        <f t="shared" si="2"/>
        <v>78249</v>
      </c>
      <c r="BA8" s="55">
        <f t="shared" si="3"/>
        <v>238145</v>
      </c>
    </row>
    <row r="9" spans="1:54" ht="15" x14ac:dyDescent="0.3">
      <c r="A9" s="43" t="s">
        <v>9</v>
      </c>
      <c r="B9" s="57">
        <v>2198</v>
      </c>
      <c r="C9" s="58">
        <v>26622</v>
      </c>
      <c r="D9" s="19"/>
      <c r="E9" s="22"/>
      <c r="F9" s="19"/>
      <c r="G9" s="22"/>
      <c r="H9" s="19">
        <v>1</v>
      </c>
      <c r="I9" s="22">
        <v>472</v>
      </c>
      <c r="J9" s="19"/>
      <c r="K9" s="22"/>
      <c r="L9" s="19"/>
      <c r="M9" s="22"/>
      <c r="N9" s="19"/>
      <c r="O9" s="22"/>
      <c r="P9" s="19">
        <v>64</v>
      </c>
      <c r="Q9" s="22">
        <v>329</v>
      </c>
      <c r="R9" s="19"/>
      <c r="S9" s="22"/>
      <c r="T9" s="19"/>
      <c r="U9" s="22"/>
      <c r="V9" s="19"/>
      <c r="W9" s="22"/>
      <c r="X9" s="19"/>
      <c r="Y9" s="22"/>
      <c r="Z9" s="23"/>
      <c r="AA9" s="24"/>
      <c r="AB9" s="19">
        <v>0</v>
      </c>
      <c r="AC9" s="22">
        <v>0</v>
      </c>
      <c r="AD9" s="234">
        <v>864</v>
      </c>
      <c r="AE9" s="340">
        <v>1309</v>
      </c>
      <c r="AF9" s="19"/>
      <c r="AG9" s="22"/>
      <c r="AH9" s="19"/>
      <c r="AI9" s="22"/>
      <c r="AJ9" s="204"/>
      <c r="AK9" s="20"/>
      <c r="AL9" s="1"/>
      <c r="AM9" s="3"/>
      <c r="AN9" s="74"/>
      <c r="AO9" s="75"/>
      <c r="AP9" s="25"/>
      <c r="AQ9" s="26"/>
      <c r="AR9" s="27"/>
      <c r="AS9" s="28"/>
      <c r="AT9" s="19">
        <v>14272</v>
      </c>
      <c r="AU9" s="22">
        <v>25912</v>
      </c>
      <c r="AV9" s="46">
        <f t="shared" si="0"/>
        <v>17399</v>
      </c>
      <c r="AW9" s="47">
        <f t="shared" si="1"/>
        <v>54644</v>
      </c>
      <c r="AX9" s="19">
        <v>223845</v>
      </c>
      <c r="AY9" s="22">
        <v>564541</v>
      </c>
      <c r="AZ9" s="45">
        <f t="shared" si="2"/>
        <v>241244</v>
      </c>
      <c r="BA9" s="761">
        <f t="shared" si="3"/>
        <v>619185</v>
      </c>
    </row>
    <row r="10" spans="1:54" ht="15" x14ac:dyDescent="0.3">
      <c r="A10" s="43" t="s">
        <v>17</v>
      </c>
      <c r="B10" s="57"/>
      <c r="C10" s="58"/>
      <c r="D10" s="19"/>
      <c r="E10" s="22"/>
      <c r="F10" s="19"/>
      <c r="G10" s="22"/>
      <c r="H10" s="19"/>
      <c r="I10" s="22"/>
      <c r="J10" s="19"/>
      <c r="K10" s="22"/>
      <c r="L10" s="19"/>
      <c r="M10" s="22"/>
      <c r="N10" s="19"/>
      <c r="O10" s="22"/>
      <c r="P10" s="19"/>
      <c r="Q10" s="22"/>
      <c r="R10" s="19"/>
      <c r="S10" s="22"/>
      <c r="T10" s="19"/>
      <c r="U10" s="22"/>
      <c r="V10" s="19"/>
      <c r="W10" s="22">
        <v>27</v>
      </c>
      <c r="X10" s="19"/>
      <c r="Y10" s="22"/>
      <c r="Z10" s="19"/>
      <c r="AA10" s="22"/>
      <c r="AB10" s="19">
        <v>16414</v>
      </c>
      <c r="AC10" s="22">
        <v>24214</v>
      </c>
      <c r="AD10" s="19">
        <v>34894</v>
      </c>
      <c r="AE10" s="22">
        <v>75502</v>
      </c>
      <c r="AF10" s="19"/>
      <c r="AG10" s="22"/>
      <c r="AH10" s="19"/>
      <c r="AI10" s="22"/>
      <c r="AJ10" s="204"/>
      <c r="AK10" s="20"/>
      <c r="AL10" s="1"/>
      <c r="AM10" s="3"/>
      <c r="AN10" s="74"/>
      <c r="AO10" s="75">
        <v>88</v>
      </c>
      <c r="AP10" s="25"/>
      <c r="AQ10" s="26"/>
      <c r="AR10" s="27"/>
      <c r="AS10" s="28"/>
      <c r="AT10" s="19"/>
      <c r="AU10" s="22"/>
      <c r="AV10" s="37">
        <f t="shared" si="0"/>
        <v>51308</v>
      </c>
      <c r="AW10" s="230">
        <f t="shared" si="1"/>
        <v>99831</v>
      </c>
      <c r="AX10" s="27"/>
      <c r="AY10" s="28"/>
      <c r="AZ10" s="54">
        <f t="shared" si="2"/>
        <v>51308</v>
      </c>
      <c r="BA10" s="55">
        <f t="shared" si="3"/>
        <v>99831</v>
      </c>
    </row>
    <row r="11" spans="1:54" ht="15" x14ac:dyDescent="0.3">
      <c r="A11" s="43" t="s">
        <v>10</v>
      </c>
      <c r="B11" s="57">
        <v>4488</v>
      </c>
      <c r="C11" s="58">
        <v>14447</v>
      </c>
      <c r="D11" s="19">
        <v>30391</v>
      </c>
      <c r="E11" s="22">
        <v>63109</v>
      </c>
      <c r="F11" s="19">
        <v>2513</v>
      </c>
      <c r="G11" s="22">
        <v>7756</v>
      </c>
      <c r="H11" s="19">
        <v>6275</v>
      </c>
      <c r="I11" s="22">
        <v>16784</v>
      </c>
      <c r="J11" s="19">
        <v>21914</v>
      </c>
      <c r="K11" s="22">
        <v>32867</v>
      </c>
      <c r="L11" s="19">
        <v>993</v>
      </c>
      <c r="M11" s="22">
        <v>2997</v>
      </c>
      <c r="N11" s="19">
        <v>11641</v>
      </c>
      <c r="O11" s="22">
        <v>40580</v>
      </c>
      <c r="P11" s="19">
        <v>7594</v>
      </c>
      <c r="Q11" s="22">
        <v>11988</v>
      </c>
      <c r="R11" s="19">
        <v>2169</v>
      </c>
      <c r="S11" s="22">
        <v>6931</v>
      </c>
      <c r="T11" s="19">
        <v>18767</v>
      </c>
      <c r="U11" s="22">
        <v>50256</v>
      </c>
      <c r="V11" s="19">
        <v>89065</v>
      </c>
      <c r="W11" s="22">
        <v>283268</v>
      </c>
      <c r="X11" s="19">
        <v>28156</v>
      </c>
      <c r="Y11" s="22">
        <v>107734</v>
      </c>
      <c r="Z11" s="19">
        <v>641</v>
      </c>
      <c r="AA11" s="22">
        <v>2324</v>
      </c>
      <c r="AB11" s="19">
        <v>2295</v>
      </c>
      <c r="AC11" s="22">
        <v>5118</v>
      </c>
      <c r="AD11" s="19">
        <v>341</v>
      </c>
      <c r="AE11" s="22">
        <v>341</v>
      </c>
      <c r="AF11" s="19">
        <v>23046</v>
      </c>
      <c r="AG11" s="22">
        <v>78894</v>
      </c>
      <c r="AH11" s="19">
        <v>17106</v>
      </c>
      <c r="AI11" s="22">
        <v>54460</v>
      </c>
      <c r="AJ11" s="204">
        <v>16398</v>
      </c>
      <c r="AK11" s="20">
        <v>52105</v>
      </c>
      <c r="AL11" s="1"/>
      <c r="AM11" s="3"/>
      <c r="AN11" s="17">
        <v>2911</v>
      </c>
      <c r="AO11" s="18">
        <v>9888</v>
      </c>
      <c r="AP11" s="25">
        <v>25299</v>
      </c>
      <c r="AQ11" s="26">
        <v>71409</v>
      </c>
      <c r="AR11" s="27">
        <v>311</v>
      </c>
      <c r="AS11" s="28">
        <v>1089</v>
      </c>
      <c r="AT11" s="19">
        <v>6345</v>
      </c>
      <c r="AU11" s="22">
        <v>16109</v>
      </c>
      <c r="AV11" s="37">
        <f t="shared" si="0"/>
        <v>318659</v>
      </c>
      <c r="AW11" s="230">
        <f t="shared" si="1"/>
        <v>930454</v>
      </c>
      <c r="AX11" s="27">
        <v>21392</v>
      </c>
      <c r="AY11" s="28">
        <v>68805</v>
      </c>
      <c r="AZ11" s="54">
        <f t="shared" si="2"/>
        <v>340051</v>
      </c>
      <c r="BA11" s="55">
        <f t="shared" si="3"/>
        <v>999259</v>
      </c>
    </row>
    <row r="12" spans="1:54" ht="15" x14ac:dyDescent="0.3">
      <c r="A12" s="43" t="s">
        <v>18</v>
      </c>
      <c r="B12" s="57"/>
      <c r="C12" s="58"/>
      <c r="D12" s="19"/>
      <c r="E12" s="22"/>
      <c r="F12" s="19"/>
      <c r="G12" s="22"/>
      <c r="H12" s="19"/>
      <c r="I12" s="22"/>
      <c r="J12" s="19"/>
      <c r="K12" s="22"/>
      <c r="L12" s="19"/>
      <c r="M12" s="22"/>
      <c r="N12" s="19"/>
      <c r="O12" s="22"/>
      <c r="P12" s="19"/>
      <c r="Q12" s="22"/>
      <c r="R12" s="19"/>
      <c r="S12" s="22"/>
      <c r="T12" s="19"/>
      <c r="U12" s="22"/>
      <c r="V12" s="19"/>
      <c r="W12" s="22"/>
      <c r="X12" s="19"/>
      <c r="Y12" s="22"/>
      <c r="Z12" s="19"/>
      <c r="AA12" s="22"/>
      <c r="AB12" s="19"/>
      <c r="AC12" s="22"/>
      <c r="AD12" s="19"/>
      <c r="AE12" s="22"/>
      <c r="AF12" s="19">
        <v>6</v>
      </c>
      <c r="AG12" s="22">
        <v>6</v>
      </c>
      <c r="AH12" s="19"/>
      <c r="AI12" s="22"/>
      <c r="AJ12" s="204"/>
      <c r="AK12" s="20"/>
      <c r="AL12" s="1"/>
      <c r="AM12" s="3"/>
      <c r="AN12" s="17"/>
      <c r="AO12" s="18"/>
      <c r="AP12" s="25"/>
      <c r="AQ12" s="26"/>
      <c r="AR12" s="27"/>
      <c r="AS12" s="28"/>
      <c r="AT12" s="19"/>
      <c r="AU12" s="22"/>
      <c r="AV12" s="37">
        <f t="shared" si="0"/>
        <v>6</v>
      </c>
      <c r="AW12" s="230">
        <f t="shared" si="1"/>
        <v>6</v>
      </c>
      <c r="AX12" s="27"/>
      <c r="AY12" s="28"/>
      <c r="AZ12" s="54">
        <f t="shared" si="2"/>
        <v>6</v>
      </c>
      <c r="BA12" s="55">
        <f t="shared" si="3"/>
        <v>6</v>
      </c>
    </row>
    <row r="13" spans="1:54" ht="15" x14ac:dyDescent="0.3">
      <c r="A13" s="43" t="s">
        <v>19</v>
      </c>
      <c r="B13" s="57"/>
      <c r="C13" s="58"/>
      <c r="D13" s="19"/>
      <c r="E13" s="22"/>
      <c r="F13" s="19"/>
      <c r="G13" s="22"/>
      <c r="H13" s="19"/>
      <c r="I13" s="22"/>
      <c r="J13" s="19"/>
      <c r="K13" s="22"/>
      <c r="L13" s="19"/>
      <c r="M13" s="22"/>
      <c r="N13" s="19"/>
      <c r="O13" s="22"/>
      <c r="P13" s="19"/>
      <c r="Q13" s="22"/>
      <c r="R13" s="19"/>
      <c r="S13" s="22">
        <v>23</v>
      </c>
      <c r="T13" s="19"/>
      <c r="U13" s="22"/>
      <c r="V13" s="19">
        <v>126</v>
      </c>
      <c r="W13" s="22">
        <v>349</v>
      </c>
      <c r="X13" s="19">
        <v>72</v>
      </c>
      <c r="Y13" s="22">
        <v>218</v>
      </c>
      <c r="Z13" s="19"/>
      <c r="AA13" s="22"/>
      <c r="AB13" s="19"/>
      <c r="AC13" s="22"/>
      <c r="AD13" s="19"/>
      <c r="AE13" s="22"/>
      <c r="AF13" s="19"/>
      <c r="AG13" s="22"/>
      <c r="AH13" s="19"/>
      <c r="AI13" s="22"/>
      <c r="AJ13" s="204"/>
      <c r="AK13" s="20"/>
      <c r="AL13" s="1"/>
      <c r="AM13" s="3"/>
      <c r="AN13" s="17"/>
      <c r="AO13" s="18"/>
      <c r="AP13" s="25"/>
      <c r="AQ13" s="26"/>
      <c r="AR13" s="27"/>
      <c r="AS13" s="28"/>
      <c r="AT13" s="19"/>
      <c r="AU13" s="22"/>
      <c r="AV13" s="37">
        <f t="shared" si="0"/>
        <v>198</v>
      </c>
      <c r="AW13" s="230">
        <f t="shared" si="1"/>
        <v>590</v>
      </c>
      <c r="AX13" s="27">
        <v>304</v>
      </c>
      <c r="AY13" s="28">
        <v>478</v>
      </c>
      <c r="AZ13" s="54">
        <f t="shared" si="2"/>
        <v>502</v>
      </c>
      <c r="BA13" s="55">
        <f t="shared" si="3"/>
        <v>1068</v>
      </c>
    </row>
    <row r="14" spans="1:54" ht="15" x14ac:dyDescent="0.3">
      <c r="A14" s="43" t="s">
        <v>20</v>
      </c>
      <c r="B14" s="57"/>
      <c r="C14" s="58"/>
      <c r="D14" s="19"/>
      <c r="E14" s="22"/>
      <c r="F14" s="19"/>
      <c r="G14" s="22"/>
      <c r="H14" s="19">
        <v>6191</v>
      </c>
      <c r="I14" s="22">
        <v>14058</v>
      </c>
      <c r="J14" s="19"/>
      <c r="K14" s="22"/>
      <c r="L14" s="19"/>
      <c r="M14" s="22"/>
      <c r="N14" s="19"/>
      <c r="O14" s="22"/>
      <c r="P14" s="19"/>
      <c r="Q14" s="22"/>
      <c r="R14" s="19"/>
      <c r="S14" s="22"/>
      <c r="T14" s="19"/>
      <c r="U14" s="22"/>
      <c r="V14" s="19"/>
      <c r="W14" s="22"/>
      <c r="X14" s="19">
        <v>6085</v>
      </c>
      <c r="Y14" s="22">
        <v>17488</v>
      </c>
      <c r="Z14" s="19"/>
      <c r="AA14" s="22"/>
      <c r="AB14" s="19"/>
      <c r="AC14" s="22"/>
      <c r="AD14" s="19"/>
      <c r="AE14" s="22"/>
      <c r="AF14" s="19"/>
      <c r="AG14" s="22"/>
      <c r="AH14" s="19"/>
      <c r="AI14" s="22"/>
      <c r="AJ14" s="204"/>
      <c r="AK14" s="20"/>
      <c r="AL14" s="1"/>
      <c r="AM14" s="3"/>
      <c r="AN14" s="17"/>
      <c r="AO14" s="18"/>
      <c r="AP14" s="25"/>
      <c r="AQ14" s="26"/>
      <c r="AR14" s="27"/>
      <c r="AS14" s="28"/>
      <c r="AT14" s="19"/>
      <c r="AU14" s="22"/>
      <c r="AV14" s="37">
        <f t="shared" si="0"/>
        <v>12276</v>
      </c>
      <c r="AW14" s="230">
        <f t="shared" si="1"/>
        <v>31546</v>
      </c>
      <c r="AX14" s="27"/>
      <c r="AY14" s="28"/>
      <c r="AZ14" s="54">
        <f t="shared" si="2"/>
        <v>12276</v>
      </c>
      <c r="BA14" s="55">
        <f t="shared" si="3"/>
        <v>31546</v>
      </c>
    </row>
    <row r="15" spans="1:54" ht="15.75" thickBot="1" x14ac:dyDescent="0.35">
      <c r="A15" s="43" t="s">
        <v>21</v>
      </c>
      <c r="B15" s="927"/>
      <c r="C15" s="639"/>
      <c r="D15" s="640"/>
      <c r="E15" s="641"/>
      <c r="F15" s="640"/>
      <c r="G15" s="641"/>
      <c r="H15" s="640"/>
      <c r="I15" s="641"/>
      <c r="J15" s="640"/>
      <c r="K15" s="641"/>
      <c r="L15" s="640"/>
      <c r="M15" s="641"/>
      <c r="N15" s="640"/>
      <c r="O15" s="641"/>
      <c r="P15" s="640"/>
      <c r="Q15" s="641"/>
      <c r="R15" s="640"/>
      <c r="S15" s="641"/>
      <c r="T15" s="640"/>
      <c r="U15" s="641"/>
      <c r="V15" s="640"/>
      <c r="W15" s="641"/>
      <c r="X15" s="640">
        <v>3640</v>
      </c>
      <c r="Y15" s="641">
        <v>12192</v>
      </c>
      <c r="Z15" s="640"/>
      <c r="AA15" s="641"/>
      <c r="AB15" s="640"/>
      <c r="AC15" s="641"/>
      <c r="AD15" s="640"/>
      <c r="AE15" s="641"/>
      <c r="AF15" s="640"/>
      <c r="AG15" s="641"/>
      <c r="AH15" s="640"/>
      <c r="AI15" s="641"/>
      <c r="AJ15" s="220"/>
      <c r="AK15" s="642"/>
      <c r="AL15" s="929"/>
      <c r="AM15" s="283"/>
      <c r="AN15" s="643"/>
      <c r="AO15" s="644"/>
      <c r="AP15" s="645"/>
      <c r="AQ15" s="646"/>
      <c r="AR15" s="647"/>
      <c r="AS15" s="648"/>
      <c r="AT15" s="640"/>
      <c r="AU15" s="641"/>
      <c r="AV15" s="649">
        <f t="shared" si="0"/>
        <v>3640</v>
      </c>
      <c r="AW15" s="650">
        <f t="shared" si="1"/>
        <v>12192</v>
      </c>
      <c r="AX15" s="647"/>
      <c r="AY15" s="648"/>
      <c r="AZ15" s="651">
        <f t="shared" si="2"/>
        <v>3640</v>
      </c>
      <c r="BA15" s="652">
        <f t="shared" si="3"/>
        <v>12192</v>
      </c>
    </row>
    <row r="16" spans="1:54" s="410" customFormat="1" ht="15" thickBot="1" x14ac:dyDescent="0.35">
      <c r="A16" s="924" t="s">
        <v>22</v>
      </c>
      <c r="B16" s="653">
        <f t="shared" ref="B16:AG16" si="4">SUM(B5:B15)</f>
        <v>75542</v>
      </c>
      <c r="C16" s="658">
        <f t="shared" si="4"/>
        <v>247810</v>
      </c>
      <c r="D16" s="653">
        <f t="shared" si="4"/>
        <v>31861</v>
      </c>
      <c r="E16" s="653">
        <f t="shared" si="4"/>
        <v>68847</v>
      </c>
      <c r="F16" s="653">
        <f t="shared" si="4"/>
        <v>15752</v>
      </c>
      <c r="G16" s="653">
        <f t="shared" si="4"/>
        <v>36281</v>
      </c>
      <c r="H16" s="653">
        <f t="shared" si="4"/>
        <v>97383</v>
      </c>
      <c r="I16" s="653">
        <f t="shared" si="4"/>
        <v>308372</v>
      </c>
      <c r="J16" s="653">
        <f t="shared" si="4"/>
        <v>56634</v>
      </c>
      <c r="K16" s="653">
        <f t="shared" si="4"/>
        <v>123930</v>
      </c>
      <c r="L16" s="653">
        <f t="shared" si="4"/>
        <v>32048</v>
      </c>
      <c r="M16" s="653">
        <f t="shared" si="4"/>
        <v>104849</v>
      </c>
      <c r="N16" s="653">
        <f t="shared" si="4"/>
        <v>29209</v>
      </c>
      <c r="O16" s="653">
        <f t="shared" si="4"/>
        <v>89023</v>
      </c>
      <c r="P16" s="653">
        <f t="shared" si="4"/>
        <v>30599</v>
      </c>
      <c r="Q16" s="653">
        <f t="shared" si="4"/>
        <v>64732</v>
      </c>
      <c r="R16" s="653">
        <f t="shared" si="4"/>
        <v>56978</v>
      </c>
      <c r="S16" s="653">
        <f t="shared" si="4"/>
        <v>177816</v>
      </c>
      <c r="T16" s="653">
        <f t="shared" si="4"/>
        <v>27510</v>
      </c>
      <c r="U16" s="653">
        <f t="shared" si="4"/>
        <v>79691</v>
      </c>
      <c r="V16" s="653">
        <f t="shared" si="4"/>
        <v>359766</v>
      </c>
      <c r="W16" s="653">
        <f t="shared" si="4"/>
        <v>1049629</v>
      </c>
      <c r="X16" s="653">
        <f t="shared" si="4"/>
        <v>240474</v>
      </c>
      <c r="Y16" s="653">
        <f t="shared" si="4"/>
        <v>836603</v>
      </c>
      <c r="Z16" s="653">
        <f t="shared" si="4"/>
        <v>37318</v>
      </c>
      <c r="AA16" s="653">
        <f t="shared" si="4"/>
        <v>116693</v>
      </c>
      <c r="AB16" s="653">
        <f t="shared" si="4"/>
        <v>73898</v>
      </c>
      <c r="AC16" s="653">
        <f t="shared" si="4"/>
        <v>182869</v>
      </c>
      <c r="AD16" s="653">
        <f t="shared" si="4"/>
        <v>140177</v>
      </c>
      <c r="AE16" s="653">
        <f t="shared" si="4"/>
        <v>337923</v>
      </c>
      <c r="AF16" s="653">
        <f t="shared" si="4"/>
        <v>211364</v>
      </c>
      <c r="AG16" s="653">
        <f t="shared" si="4"/>
        <v>561332</v>
      </c>
      <c r="AH16" s="653">
        <f t="shared" ref="AH16:AU16" si="5">SUM(AH5:AH15)</f>
        <v>67683</v>
      </c>
      <c r="AI16" s="653">
        <f t="shared" si="5"/>
        <v>219676</v>
      </c>
      <c r="AJ16" s="653">
        <f t="shared" si="5"/>
        <v>69332</v>
      </c>
      <c r="AK16" s="654">
        <f t="shared" si="5"/>
        <v>216507</v>
      </c>
      <c r="AL16" s="653">
        <f t="shared" si="5"/>
        <v>0</v>
      </c>
      <c r="AM16" s="656">
        <f t="shared" si="5"/>
        <v>0</v>
      </c>
      <c r="AN16" s="655">
        <f t="shared" si="5"/>
        <v>448119</v>
      </c>
      <c r="AO16" s="656">
        <f t="shared" si="5"/>
        <v>1427034</v>
      </c>
      <c r="AP16" s="653">
        <f t="shared" si="5"/>
        <v>88227</v>
      </c>
      <c r="AQ16" s="653">
        <f t="shared" si="5"/>
        <v>245540</v>
      </c>
      <c r="AR16" s="653">
        <f t="shared" si="5"/>
        <v>34015</v>
      </c>
      <c r="AS16" s="653">
        <f t="shared" si="5"/>
        <v>113203</v>
      </c>
      <c r="AT16" s="653">
        <f t="shared" si="5"/>
        <v>96202</v>
      </c>
      <c r="AU16" s="658">
        <f t="shared" si="5"/>
        <v>222661</v>
      </c>
      <c r="AV16" s="659">
        <f t="shared" si="0"/>
        <v>2320091</v>
      </c>
      <c r="AW16" s="660">
        <f t="shared" si="1"/>
        <v>6831021</v>
      </c>
      <c r="AX16" s="661">
        <f>SUM(AX5:AX15)</f>
        <v>8326986</v>
      </c>
      <c r="AY16" s="662">
        <f>SUM(AY5:AY15)</f>
        <v>21310698</v>
      </c>
      <c r="AZ16" s="663">
        <f t="shared" si="2"/>
        <v>10647077</v>
      </c>
      <c r="BA16" s="664">
        <f t="shared" si="3"/>
        <v>28141719</v>
      </c>
    </row>
    <row r="17" spans="1:53" s="778" customFormat="1" ht="15" thickBot="1" x14ac:dyDescent="0.35">
      <c r="A17" s="762" t="s">
        <v>13</v>
      </c>
      <c r="B17" s="928"/>
      <c r="C17" s="763"/>
      <c r="D17" s="764"/>
      <c r="E17" s="765">
        <v>3</v>
      </c>
      <c r="F17" s="764"/>
      <c r="G17" s="765"/>
      <c r="H17" s="764"/>
      <c r="I17" s="765"/>
      <c r="J17" s="764"/>
      <c r="K17" s="765"/>
      <c r="L17" s="764"/>
      <c r="M17" s="765"/>
      <c r="N17" s="764">
        <v>1120</v>
      </c>
      <c r="O17" s="765">
        <v>3197</v>
      </c>
      <c r="P17" s="767"/>
      <c r="Q17" s="768"/>
      <c r="R17" s="767">
        <v>5587</v>
      </c>
      <c r="S17" s="768">
        <v>16047</v>
      </c>
      <c r="T17" s="767"/>
      <c r="U17" s="768">
        <v>18</v>
      </c>
      <c r="V17" s="767"/>
      <c r="W17" s="768"/>
      <c r="X17" s="767"/>
      <c r="Y17" s="768"/>
      <c r="Z17" s="767"/>
      <c r="AA17" s="768"/>
      <c r="AB17" s="764"/>
      <c r="AC17" s="765"/>
      <c r="AD17" s="764">
        <v>9</v>
      </c>
      <c r="AE17" s="765">
        <v>11</v>
      </c>
      <c r="AF17" s="764"/>
      <c r="AG17" s="765"/>
      <c r="AH17" s="764">
        <v>-8</v>
      </c>
      <c r="AI17" s="765">
        <v>-10</v>
      </c>
      <c r="AJ17" s="764"/>
      <c r="AK17" s="769"/>
      <c r="AL17" s="930"/>
      <c r="AM17" s="770"/>
      <c r="AN17" s="771"/>
      <c r="AO17" s="772"/>
      <c r="AP17" s="773"/>
      <c r="AQ17" s="774"/>
      <c r="AR17" s="775"/>
      <c r="AS17" s="776"/>
      <c r="AT17" s="764"/>
      <c r="AU17" s="765"/>
      <c r="AV17" s="767">
        <f t="shared" si="0"/>
        <v>6708</v>
      </c>
      <c r="AW17" s="768">
        <f t="shared" si="1"/>
        <v>19266</v>
      </c>
      <c r="AX17" s="775"/>
      <c r="AY17" s="776"/>
      <c r="AZ17" s="766">
        <f t="shared" si="2"/>
        <v>6708</v>
      </c>
      <c r="BA17" s="777">
        <f t="shared" si="3"/>
        <v>19266</v>
      </c>
    </row>
    <row r="18" spans="1:53" s="410" customFormat="1" ht="15" thickBot="1" x14ac:dyDescent="0.35">
      <c r="A18" s="924" t="s">
        <v>14</v>
      </c>
      <c r="B18" s="653">
        <f t="shared" ref="B18:AG18" si="6">B16+B17</f>
        <v>75542</v>
      </c>
      <c r="C18" s="658">
        <f t="shared" si="6"/>
        <v>247810</v>
      </c>
      <c r="D18" s="653">
        <f t="shared" si="6"/>
        <v>31861</v>
      </c>
      <c r="E18" s="653">
        <f t="shared" si="6"/>
        <v>68850</v>
      </c>
      <c r="F18" s="653">
        <f t="shared" si="6"/>
        <v>15752</v>
      </c>
      <c r="G18" s="653">
        <f t="shared" si="6"/>
        <v>36281</v>
      </c>
      <c r="H18" s="653">
        <f t="shared" si="6"/>
        <v>97383</v>
      </c>
      <c r="I18" s="653">
        <f t="shared" si="6"/>
        <v>308372</v>
      </c>
      <c r="J18" s="653">
        <f t="shared" si="6"/>
        <v>56634</v>
      </c>
      <c r="K18" s="653">
        <f t="shared" si="6"/>
        <v>123930</v>
      </c>
      <c r="L18" s="653">
        <f t="shared" si="6"/>
        <v>32048</v>
      </c>
      <c r="M18" s="653">
        <f t="shared" si="6"/>
        <v>104849</v>
      </c>
      <c r="N18" s="653">
        <f t="shared" si="6"/>
        <v>30329</v>
      </c>
      <c r="O18" s="653">
        <f t="shared" si="6"/>
        <v>92220</v>
      </c>
      <c r="P18" s="653">
        <f t="shared" si="6"/>
        <v>30599</v>
      </c>
      <c r="Q18" s="653">
        <f t="shared" si="6"/>
        <v>64732</v>
      </c>
      <c r="R18" s="653">
        <f t="shared" si="6"/>
        <v>62565</v>
      </c>
      <c r="S18" s="653">
        <f t="shared" si="6"/>
        <v>193863</v>
      </c>
      <c r="T18" s="653">
        <f t="shared" si="6"/>
        <v>27510</v>
      </c>
      <c r="U18" s="653">
        <f t="shared" si="6"/>
        <v>79709</v>
      </c>
      <c r="V18" s="653">
        <f t="shared" si="6"/>
        <v>359766</v>
      </c>
      <c r="W18" s="653">
        <f t="shared" si="6"/>
        <v>1049629</v>
      </c>
      <c r="X18" s="653">
        <f t="shared" si="6"/>
        <v>240474</v>
      </c>
      <c r="Y18" s="653">
        <f t="shared" si="6"/>
        <v>836603</v>
      </c>
      <c r="Z18" s="653">
        <f t="shared" si="6"/>
        <v>37318</v>
      </c>
      <c r="AA18" s="653">
        <f t="shared" si="6"/>
        <v>116693</v>
      </c>
      <c r="AB18" s="653">
        <f t="shared" si="6"/>
        <v>73898</v>
      </c>
      <c r="AC18" s="653">
        <f t="shared" si="6"/>
        <v>182869</v>
      </c>
      <c r="AD18" s="653">
        <f t="shared" si="6"/>
        <v>140186</v>
      </c>
      <c r="AE18" s="653">
        <f t="shared" si="6"/>
        <v>337934</v>
      </c>
      <c r="AF18" s="653">
        <f t="shared" si="6"/>
        <v>211364</v>
      </c>
      <c r="AG18" s="653">
        <f t="shared" si="6"/>
        <v>561332</v>
      </c>
      <c r="AH18" s="653">
        <f t="shared" ref="AH18:AU18" si="7">AH16+AH17</f>
        <v>67675</v>
      </c>
      <c r="AI18" s="653">
        <f t="shared" si="7"/>
        <v>219666</v>
      </c>
      <c r="AJ18" s="653">
        <f t="shared" si="7"/>
        <v>69332</v>
      </c>
      <c r="AK18" s="654">
        <f t="shared" si="7"/>
        <v>216507</v>
      </c>
      <c r="AL18" s="653">
        <f t="shared" si="7"/>
        <v>0</v>
      </c>
      <c r="AM18" s="656">
        <f t="shared" si="7"/>
        <v>0</v>
      </c>
      <c r="AN18" s="655">
        <f t="shared" si="7"/>
        <v>448119</v>
      </c>
      <c r="AO18" s="656">
        <f t="shared" si="7"/>
        <v>1427034</v>
      </c>
      <c r="AP18" s="653">
        <f t="shared" si="7"/>
        <v>88227</v>
      </c>
      <c r="AQ18" s="653">
        <f t="shared" si="7"/>
        <v>245540</v>
      </c>
      <c r="AR18" s="653">
        <f t="shared" si="7"/>
        <v>34015</v>
      </c>
      <c r="AS18" s="653">
        <f t="shared" si="7"/>
        <v>113203</v>
      </c>
      <c r="AT18" s="653">
        <f t="shared" si="7"/>
        <v>96202</v>
      </c>
      <c r="AU18" s="658">
        <f t="shared" si="7"/>
        <v>222661</v>
      </c>
      <c r="AV18" s="659">
        <f t="shared" si="0"/>
        <v>2326799</v>
      </c>
      <c r="AW18" s="660">
        <f t="shared" si="1"/>
        <v>6850287</v>
      </c>
      <c r="AX18" s="663">
        <f>AX16+AX17</f>
        <v>8326986</v>
      </c>
      <c r="AY18" s="664">
        <f>AY16+AY17</f>
        <v>21310698</v>
      </c>
      <c r="AZ18" s="663">
        <f t="shared" si="2"/>
        <v>10653785</v>
      </c>
      <c r="BA18" s="664">
        <f t="shared" si="3"/>
        <v>28160985</v>
      </c>
    </row>
    <row r="20" spans="1:53" x14ac:dyDescent="0.3">
      <c r="AV20" s="36"/>
    </row>
  </sheetData>
  <mergeCells count="29">
    <mergeCell ref="A1:AZ1"/>
    <mergeCell ref="A2:AZ2"/>
    <mergeCell ref="A3:A4"/>
    <mergeCell ref="AX3:AY3"/>
    <mergeCell ref="AZ3:BA3"/>
    <mergeCell ref="AV3:AW3"/>
    <mergeCell ref="B3:C3"/>
    <mergeCell ref="D3:E3"/>
    <mergeCell ref="F3:G3"/>
    <mergeCell ref="H3:I3"/>
    <mergeCell ref="J3:K3"/>
    <mergeCell ref="L3:M3"/>
    <mergeCell ref="N3:O3"/>
    <mergeCell ref="R3:S3"/>
    <mergeCell ref="T3:U3"/>
    <mergeCell ref="P3:Q3"/>
    <mergeCell ref="V3:W3"/>
    <mergeCell ref="Z3:AA3"/>
    <mergeCell ref="AB3:AC3"/>
    <mergeCell ref="X3:Y3"/>
    <mergeCell ref="AP3:AQ3"/>
    <mergeCell ref="AR3:AS3"/>
    <mergeCell ref="AT3:AU3"/>
    <mergeCell ref="AD3:AE3"/>
    <mergeCell ref="AF3:AG3"/>
    <mergeCell ref="AH3:AI3"/>
    <mergeCell ref="AJ3:AK3"/>
    <mergeCell ref="AL3:AM3"/>
    <mergeCell ref="AN3:A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43"/>
  <sheetViews>
    <sheetView workbookViewId="0">
      <pane xSplit="1" topLeftCell="B1" activePane="topRight" state="frozen"/>
      <selection pane="topRight" activeCell="BC7" sqref="BC7"/>
    </sheetView>
    <sheetView workbookViewId="1">
      <selection sqref="A1:IV65536"/>
    </sheetView>
  </sheetViews>
  <sheetFormatPr defaultRowHeight="14.25" x14ac:dyDescent="0.3"/>
  <cols>
    <col min="1" max="1" width="27.85546875" style="36" bestFit="1" customWidth="1"/>
    <col min="2" max="2" width="11.7109375" style="36" bestFit="1" customWidth="1"/>
    <col min="3" max="3" width="12.85546875" style="36" bestFit="1" customWidth="1"/>
    <col min="4" max="4" width="11.7109375" style="36" bestFit="1" customWidth="1"/>
    <col min="5" max="5" width="12.85546875" style="36" bestFit="1" customWidth="1"/>
    <col min="6" max="6" width="11.7109375" style="36" bestFit="1" customWidth="1"/>
    <col min="7" max="7" width="12.85546875" style="36" bestFit="1" customWidth="1"/>
    <col min="8" max="8" width="11.7109375" style="36" bestFit="1" customWidth="1"/>
    <col min="9" max="9" width="12.85546875" style="36" bestFit="1" customWidth="1"/>
    <col min="10" max="10" width="11.7109375" style="36" bestFit="1" customWidth="1"/>
    <col min="11" max="11" width="12.85546875" style="36" bestFit="1" customWidth="1"/>
    <col min="12" max="12" width="11.7109375" style="36" bestFit="1" customWidth="1"/>
    <col min="13" max="13" width="12.85546875" style="36" bestFit="1" customWidth="1"/>
    <col min="14" max="14" width="11.7109375" style="36" bestFit="1" customWidth="1"/>
    <col min="15" max="15" width="12.85546875" style="36" bestFit="1" customWidth="1"/>
    <col min="16" max="16" width="11.7109375" style="36" bestFit="1" customWidth="1"/>
    <col min="17" max="17" width="12.85546875" style="36" bestFit="1" customWidth="1"/>
    <col min="18" max="18" width="11.7109375" style="36" bestFit="1" customWidth="1"/>
    <col min="19" max="19" width="12.85546875" style="36" bestFit="1" customWidth="1"/>
    <col min="20" max="20" width="11.7109375" style="36" bestFit="1" customWidth="1"/>
    <col min="21" max="21" width="12.85546875" style="36" bestFit="1" customWidth="1"/>
    <col min="22" max="22" width="11.7109375" style="36" bestFit="1" customWidth="1"/>
    <col min="23" max="23" width="12.85546875" style="36" bestFit="1" customWidth="1"/>
    <col min="24" max="24" width="11.7109375" style="36" bestFit="1" customWidth="1"/>
    <col min="25" max="25" width="12.85546875" style="36" bestFit="1" customWidth="1"/>
    <col min="26" max="26" width="11.7109375" style="36" bestFit="1" customWidth="1"/>
    <col min="27" max="27" width="12.85546875" style="36" bestFit="1" customWidth="1"/>
    <col min="28" max="28" width="11.7109375" style="36" bestFit="1" customWidth="1"/>
    <col min="29" max="29" width="12.85546875" style="36" bestFit="1" customWidth="1"/>
    <col min="30" max="30" width="11.7109375" style="36" bestFit="1" customWidth="1"/>
    <col min="31" max="31" width="12.85546875" style="36" bestFit="1" customWidth="1"/>
    <col min="32" max="32" width="11.7109375" style="36" bestFit="1" customWidth="1"/>
    <col min="33" max="33" width="12.85546875" style="36" bestFit="1" customWidth="1"/>
    <col min="34" max="34" width="11.7109375" style="36" bestFit="1" customWidth="1"/>
    <col min="35" max="35" width="12.85546875" style="36" bestFit="1" customWidth="1"/>
    <col min="36" max="36" width="11.7109375" style="36" bestFit="1" customWidth="1"/>
    <col min="37" max="37" width="12.85546875" style="36" bestFit="1" customWidth="1"/>
    <col min="38" max="38" width="11.7109375" style="36" bestFit="1" customWidth="1"/>
    <col min="39" max="39" width="12.85546875" style="36" bestFit="1" customWidth="1"/>
    <col min="40" max="40" width="11.7109375" style="240" bestFit="1" customWidth="1"/>
    <col min="41" max="41" width="12.85546875" style="240" bestFit="1" customWidth="1"/>
    <col min="42" max="42" width="11.7109375" style="36" bestFit="1" customWidth="1"/>
    <col min="43" max="43" width="12.85546875" style="36" bestFit="1" customWidth="1"/>
    <col min="44" max="44" width="11.7109375" style="36" bestFit="1" customWidth="1"/>
    <col min="45" max="45" width="12.85546875" style="36" bestFit="1" customWidth="1"/>
    <col min="46" max="46" width="11.7109375" style="36" bestFit="1" customWidth="1"/>
    <col min="47" max="47" width="12.85546875" style="36" bestFit="1" customWidth="1"/>
    <col min="48" max="48" width="11.7109375" style="36" bestFit="1" customWidth="1"/>
    <col min="49" max="49" width="12.85546875" style="36" bestFit="1" customWidth="1"/>
    <col min="50" max="50" width="11.7109375" style="36" bestFit="1" customWidth="1"/>
    <col min="51" max="51" width="12.85546875" style="36" bestFit="1" customWidth="1"/>
    <col min="52" max="52" width="11.7109375" style="36" bestFit="1" customWidth="1"/>
    <col min="53" max="53" width="12.85546875" style="36" bestFit="1" customWidth="1"/>
    <col min="54" max="16384" width="9.140625" style="36"/>
  </cols>
  <sheetData>
    <row r="1" spans="1:53" x14ac:dyDescent="0.3">
      <c r="A1" s="938" t="s">
        <v>148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  <c r="P1" s="938"/>
      <c r="Q1" s="938"/>
      <c r="R1" s="938"/>
      <c r="S1" s="938"/>
      <c r="T1" s="938"/>
      <c r="U1" s="938"/>
      <c r="V1" s="938"/>
      <c r="W1" s="938"/>
      <c r="X1" s="938"/>
      <c r="Y1" s="938"/>
      <c r="Z1" s="938"/>
      <c r="AA1" s="938"/>
      <c r="AB1" s="938"/>
      <c r="AC1" s="938"/>
      <c r="AD1" s="938"/>
      <c r="AE1" s="938"/>
      <c r="AF1" s="938"/>
      <c r="AG1" s="938"/>
      <c r="AH1" s="938"/>
      <c r="AI1" s="938"/>
      <c r="AJ1" s="938"/>
      <c r="AK1" s="938"/>
      <c r="AL1" s="938"/>
      <c r="AM1" s="938"/>
      <c r="AN1" s="938"/>
      <c r="AO1" s="938"/>
      <c r="AP1" s="938"/>
      <c r="AQ1" s="938"/>
      <c r="AR1" s="938"/>
      <c r="AS1" s="938"/>
      <c r="AT1" s="938"/>
      <c r="AU1" s="938"/>
      <c r="AV1" s="938"/>
      <c r="AW1" s="938"/>
      <c r="AX1" s="938"/>
      <c r="AY1" s="938"/>
      <c r="AZ1" s="938"/>
    </row>
    <row r="2" spans="1:53" ht="16.5" thickBot="1" x14ac:dyDescent="0.4">
      <c r="A2" s="939" t="s">
        <v>149</v>
      </c>
      <c r="B2" s="939"/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  <c r="O2" s="939"/>
      <c r="P2" s="939"/>
      <c r="Q2" s="939"/>
      <c r="R2" s="939"/>
      <c r="S2" s="939"/>
      <c r="T2" s="939"/>
      <c r="U2" s="939"/>
      <c r="V2" s="939"/>
      <c r="W2" s="939"/>
      <c r="X2" s="939"/>
      <c r="Y2" s="939"/>
      <c r="Z2" s="939"/>
      <c r="AA2" s="939"/>
      <c r="AB2" s="939"/>
      <c r="AC2" s="939"/>
      <c r="AD2" s="939"/>
      <c r="AE2" s="939"/>
      <c r="AF2" s="939"/>
      <c r="AG2" s="939"/>
      <c r="AH2" s="939"/>
      <c r="AI2" s="939"/>
      <c r="AJ2" s="939"/>
      <c r="AK2" s="939"/>
      <c r="AL2" s="939"/>
      <c r="AM2" s="939"/>
      <c r="AN2" s="939"/>
      <c r="AO2" s="939"/>
      <c r="AP2" s="939"/>
      <c r="AQ2" s="939"/>
      <c r="AR2" s="939"/>
      <c r="AS2" s="939"/>
      <c r="AT2" s="939"/>
      <c r="AU2" s="939"/>
      <c r="AV2" s="939"/>
      <c r="AW2" s="939"/>
      <c r="AX2" s="939"/>
      <c r="AY2" s="939"/>
      <c r="AZ2" s="939"/>
    </row>
    <row r="3" spans="1:53" ht="38.25" customHeight="1" thickBot="1" x14ac:dyDescent="0.35">
      <c r="A3" s="940" t="s">
        <v>0</v>
      </c>
      <c r="B3" s="942" t="s">
        <v>155</v>
      </c>
      <c r="C3" s="943"/>
      <c r="D3" s="934" t="s">
        <v>156</v>
      </c>
      <c r="E3" s="935"/>
      <c r="F3" s="934" t="s">
        <v>157</v>
      </c>
      <c r="G3" s="935"/>
      <c r="H3" s="934" t="s">
        <v>158</v>
      </c>
      <c r="I3" s="935"/>
      <c r="J3" s="934" t="s">
        <v>159</v>
      </c>
      <c r="K3" s="935"/>
      <c r="L3" s="934" t="s">
        <v>160</v>
      </c>
      <c r="M3" s="935"/>
      <c r="N3" s="934" t="s">
        <v>161</v>
      </c>
      <c r="O3" s="935"/>
      <c r="P3" s="934" t="s">
        <v>162</v>
      </c>
      <c r="Q3" s="935"/>
      <c r="R3" s="934" t="s">
        <v>163</v>
      </c>
      <c r="S3" s="935"/>
      <c r="T3" s="934" t="s">
        <v>164</v>
      </c>
      <c r="U3" s="935"/>
      <c r="V3" s="934" t="s">
        <v>165</v>
      </c>
      <c r="W3" s="935"/>
      <c r="X3" s="934" t="s">
        <v>166</v>
      </c>
      <c r="Y3" s="935"/>
      <c r="Z3" s="934" t="s">
        <v>167</v>
      </c>
      <c r="AA3" s="935"/>
      <c r="AB3" s="934" t="s">
        <v>168</v>
      </c>
      <c r="AC3" s="935"/>
      <c r="AD3" s="936" t="s">
        <v>169</v>
      </c>
      <c r="AE3" s="937"/>
      <c r="AF3" s="934" t="s">
        <v>170</v>
      </c>
      <c r="AG3" s="935"/>
      <c r="AH3" s="934" t="s">
        <v>171</v>
      </c>
      <c r="AI3" s="935"/>
      <c r="AJ3" s="934" t="s">
        <v>172</v>
      </c>
      <c r="AK3" s="935"/>
      <c r="AL3" s="936" t="s">
        <v>173</v>
      </c>
      <c r="AM3" s="937"/>
      <c r="AN3" s="936" t="s">
        <v>174</v>
      </c>
      <c r="AO3" s="937"/>
      <c r="AP3" s="934" t="s">
        <v>175</v>
      </c>
      <c r="AQ3" s="935"/>
      <c r="AR3" s="934" t="s">
        <v>176</v>
      </c>
      <c r="AS3" s="935"/>
      <c r="AT3" s="934" t="s">
        <v>177</v>
      </c>
      <c r="AU3" s="935"/>
      <c r="AV3" s="934" t="s">
        <v>1</v>
      </c>
      <c r="AW3" s="935"/>
      <c r="AX3" s="936" t="s">
        <v>178</v>
      </c>
      <c r="AY3" s="937"/>
      <c r="AZ3" s="936" t="s">
        <v>2</v>
      </c>
      <c r="BA3" s="937"/>
    </row>
    <row r="4" spans="1:53" s="494" customFormat="1" ht="15" customHeight="1" thickBot="1" x14ac:dyDescent="0.35">
      <c r="A4" s="941"/>
      <c r="B4" s="498" t="s">
        <v>180</v>
      </c>
      <c r="C4" s="499" t="s">
        <v>181</v>
      </c>
      <c r="D4" s="508" t="s">
        <v>180</v>
      </c>
      <c r="E4" s="509" t="s">
        <v>181</v>
      </c>
      <c r="F4" s="508" t="s">
        <v>180</v>
      </c>
      <c r="G4" s="509" t="s">
        <v>181</v>
      </c>
      <c r="H4" s="508" t="s">
        <v>180</v>
      </c>
      <c r="I4" s="509" t="s">
        <v>181</v>
      </c>
      <c r="J4" s="508" t="s">
        <v>180</v>
      </c>
      <c r="K4" s="509" t="s">
        <v>181</v>
      </c>
      <c r="L4" s="508" t="s">
        <v>180</v>
      </c>
      <c r="M4" s="509" t="s">
        <v>181</v>
      </c>
      <c r="N4" s="508" t="s">
        <v>180</v>
      </c>
      <c r="O4" s="509" t="s">
        <v>181</v>
      </c>
      <c r="P4" s="508" t="s">
        <v>180</v>
      </c>
      <c r="Q4" s="509" t="s">
        <v>181</v>
      </c>
      <c r="R4" s="508" t="s">
        <v>180</v>
      </c>
      <c r="S4" s="509" t="s">
        <v>181</v>
      </c>
      <c r="T4" s="508" t="s">
        <v>180</v>
      </c>
      <c r="U4" s="509" t="s">
        <v>181</v>
      </c>
      <c r="V4" s="508" t="s">
        <v>180</v>
      </c>
      <c r="W4" s="509" t="s">
        <v>181</v>
      </c>
      <c r="X4" s="508" t="s">
        <v>180</v>
      </c>
      <c r="Y4" s="509" t="s">
        <v>181</v>
      </c>
      <c r="Z4" s="508" t="s">
        <v>180</v>
      </c>
      <c r="AA4" s="509" t="s">
        <v>181</v>
      </c>
      <c r="AB4" s="508" t="s">
        <v>180</v>
      </c>
      <c r="AC4" s="509" t="s">
        <v>181</v>
      </c>
      <c r="AD4" s="508" t="s">
        <v>180</v>
      </c>
      <c r="AE4" s="509" t="s">
        <v>181</v>
      </c>
      <c r="AF4" s="508" t="s">
        <v>180</v>
      </c>
      <c r="AG4" s="509" t="s">
        <v>181</v>
      </c>
      <c r="AH4" s="508" t="s">
        <v>180</v>
      </c>
      <c r="AI4" s="509" t="s">
        <v>181</v>
      </c>
      <c r="AJ4" s="508" t="s">
        <v>180</v>
      </c>
      <c r="AK4" s="509" t="s">
        <v>181</v>
      </c>
      <c r="AL4" s="508" t="s">
        <v>180</v>
      </c>
      <c r="AM4" s="509" t="s">
        <v>181</v>
      </c>
      <c r="AN4" s="508" t="s">
        <v>180</v>
      </c>
      <c r="AO4" s="509" t="s">
        <v>181</v>
      </c>
      <c r="AP4" s="508" t="s">
        <v>180</v>
      </c>
      <c r="AQ4" s="509" t="s">
        <v>181</v>
      </c>
      <c r="AR4" s="508" t="s">
        <v>180</v>
      </c>
      <c r="AS4" s="509" t="s">
        <v>181</v>
      </c>
      <c r="AT4" s="508" t="s">
        <v>180</v>
      </c>
      <c r="AU4" s="509" t="s">
        <v>181</v>
      </c>
      <c r="AV4" s="508" t="s">
        <v>180</v>
      </c>
      <c r="AW4" s="509" t="s">
        <v>181</v>
      </c>
      <c r="AX4" s="508" t="s">
        <v>180</v>
      </c>
      <c r="AY4" s="509" t="s">
        <v>181</v>
      </c>
      <c r="AZ4" s="508" t="s">
        <v>180</v>
      </c>
      <c r="BA4" s="509" t="s">
        <v>181</v>
      </c>
    </row>
    <row r="5" spans="1:53" ht="28.5" x14ac:dyDescent="0.3">
      <c r="A5" s="295" t="s">
        <v>113</v>
      </c>
      <c r="B5" s="12">
        <v>1592106</v>
      </c>
      <c r="C5" s="331">
        <v>2690066</v>
      </c>
      <c r="D5" s="501">
        <v>27892</v>
      </c>
      <c r="E5" s="502">
        <v>27892</v>
      </c>
      <c r="F5" s="501">
        <v>239307</v>
      </c>
      <c r="G5" s="502">
        <v>239307</v>
      </c>
      <c r="H5" s="501">
        <v>1969433</v>
      </c>
      <c r="I5" s="502">
        <v>3495423</v>
      </c>
      <c r="J5" s="501">
        <v>2240722</v>
      </c>
      <c r="K5" s="502">
        <v>1452362</v>
      </c>
      <c r="L5" s="501">
        <f>814201+20611+10024+273307+1255+11342+34162+13080</f>
        <v>1177982</v>
      </c>
      <c r="M5" s="502">
        <f>L5</f>
        <v>1177982</v>
      </c>
      <c r="N5" s="501">
        <v>898127</v>
      </c>
      <c r="O5" s="502">
        <v>3451130</v>
      </c>
      <c r="P5" s="501">
        <v>13951</v>
      </c>
      <c r="Q5" s="502">
        <v>13951</v>
      </c>
      <c r="R5" s="501">
        <v>1055222</v>
      </c>
      <c r="S5" s="502">
        <v>1055222</v>
      </c>
      <c r="T5" s="501">
        <v>45639</v>
      </c>
      <c r="U5" s="502">
        <v>45639</v>
      </c>
      <c r="V5" s="501">
        <v>3965162</v>
      </c>
      <c r="W5" s="502">
        <v>10022033</v>
      </c>
      <c r="X5" s="501">
        <v>1966606</v>
      </c>
      <c r="Y5" s="502">
        <v>10892136</v>
      </c>
      <c r="Z5" s="501">
        <v>660354</v>
      </c>
      <c r="AA5" s="502">
        <v>660354</v>
      </c>
      <c r="AB5" s="501">
        <v>446259</v>
      </c>
      <c r="AC5" s="502">
        <v>629305</v>
      </c>
      <c r="AD5" s="501">
        <v>2924360</v>
      </c>
      <c r="AE5" s="502">
        <v>2924360</v>
      </c>
      <c r="AF5" s="501">
        <v>1828843</v>
      </c>
      <c r="AG5" s="502">
        <v>3991670</v>
      </c>
      <c r="AH5" s="501">
        <v>354627</v>
      </c>
      <c r="AI5" s="502">
        <v>1352880</v>
      </c>
      <c r="AJ5" s="501">
        <v>1316045</v>
      </c>
      <c r="AK5" s="502">
        <v>1316045</v>
      </c>
      <c r="AL5" s="501"/>
      <c r="AM5" s="502"/>
      <c r="AN5" s="503">
        <v>3558127</v>
      </c>
      <c r="AO5" s="504">
        <v>8294017</v>
      </c>
      <c r="AP5" s="501">
        <v>585980</v>
      </c>
      <c r="AQ5" s="502">
        <v>585980</v>
      </c>
      <c r="AR5" s="501">
        <v>630493</v>
      </c>
      <c r="AS5" s="502">
        <v>777442</v>
      </c>
      <c r="AT5" s="501">
        <v>1487496</v>
      </c>
      <c r="AU5" s="502">
        <v>1851910</v>
      </c>
      <c r="AV5" s="505">
        <f t="shared" ref="AV5:AV24" si="0">SUM(B5+D5+F5+H5+J5+L5+N5+P5+R5+T5+V5+X5+Z5+AB5+AD5+AF5+AH5+AJ5+AL5+AN5+AP5+AR5+AT5)</f>
        <v>28984733</v>
      </c>
      <c r="AW5" s="506">
        <f t="shared" ref="AW5:AW24" si="1">SUM(C5+E5+G5+I5+K5+M5+O5+Q5+S5+U5+W5+Y5+AA5+AC5+AE5+AG5+AI5+AK5+AM5+AO5+AQ5+AS5+AU5)</f>
        <v>56947106</v>
      </c>
      <c r="AX5" s="501">
        <v>24218226</v>
      </c>
      <c r="AY5" s="502">
        <v>24218226</v>
      </c>
      <c r="AZ5" s="505">
        <f t="shared" ref="AZ5:AZ24" si="2">AV5+AX5</f>
        <v>53202959</v>
      </c>
      <c r="BA5" s="506">
        <f t="shared" ref="BA5:BA24" si="3">AW5+AY5</f>
        <v>81165332</v>
      </c>
    </row>
    <row r="6" spans="1:53" x14ac:dyDescent="0.3">
      <c r="A6" s="296" t="s">
        <v>114</v>
      </c>
      <c r="B6" s="231"/>
      <c r="C6" s="332"/>
      <c r="D6" s="19"/>
      <c r="E6" s="22"/>
      <c r="F6" s="19"/>
      <c r="G6" s="22"/>
      <c r="H6" s="19"/>
      <c r="I6" s="22"/>
      <c r="J6" s="19"/>
      <c r="K6" s="22"/>
      <c r="L6" s="19"/>
      <c r="M6" s="22"/>
      <c r="N6" s="19"/>
      <c r="O6" s="22"/>
      <c r="P6" s="19"/>
      <c r="Q6" s="22"/>
      <c r="R6" s="19"/>
      <c r="S6" s="22"/>
      <c r="T6" s="19"/>
      <c r="U6" s="22"/>
      <c r="V6" s="19"/>
      <c r="W6" s="22"/>
      <c r="X6" s="19"/>
      <c r="Y6" s="22"/>
      <c r="Z6" s="23"/>
      <c r="AA6" s="24"/>
      <c r="AB6" s="19"/>
      <c r="AC6" s="22"/>
      <c r="AD6" s="19"/>
      <c r="AE6" s="22"/>
      <c r="AF6" s="19"/>
      <c r="AG6" s="22"/>
      <c r="AH6" s="19"/>
      <c r="AI6" s="22"/>
      <c r="AJ6" s="19"/>
      <c r="AK6" s="22"/>
      <c r="AL6" s="19"/>
      <c r="AM6" s="22"/>
      <c r="AN6" s="300"/>
      <c r="AO6" s="304"/>
      <c r="AP6" s="25"/>
      <c r="AQ6" s="26"/>
      <c r="AR6" s="27"/>
      <c r="AS6" s="28"/>
      <c r="AT6" s="19"/>
      <c r="AU6" s="22"/>
      <c r="AV6" s="13">
        <f t="shared" si="0"/>
        <v>0</v>
      </c>
      <c r="AW6" s="330">
        <f t="shared" si="1"/>
        <v>0</v>
      </c>
      <c r="AX6" s="27"/>
      <c r="AY6" s="28"/>
      <c r="AZ6" s="13">
        <f t="shared" si="2"/>
        <v>0</v>
      </c>
      <c r="BA6" s="330">
        <f t="shared" si="3"/>
        <v>0</v>
      </c>
    </row>
    <row r="7" spans="1:53" ht="28.5" x14ac:dyDescent="0.3">
      <c r="A7" s="296" t="s">
        <v>115</v>
      </c>
      <c r="B7" s="231">
        <v>372664</v>
      </c>
      <c r="C7" s="332">
        <v>1440351</v>
      </c>
      <c r="D7" s="19">
        <v>10676</v>
      </c>
      <c r="E7" s="22">
        <v>39618</v>
      </c>
      <c r="F7" s="19">
        <v>126390</v>
      </c>
      <c r="G7" s="22">
        <v>543469</v>
      </c>
      <c r="H7" s="19">
        <v>1524270</v>
      </c>
      <c r="I7" s="22">
        <v>5910409</v>
      </c>
      <c r="J7" s="19">
        <v>50791</v>
      </c>
      <c r="K7" s="22">
        <v>190610</v>
      </c>
      <c r="L7" s="19">
        <v>144228</v>
      </c>
      <c r="M7" s="22">
        <v>561888</v>
      </c>
      <c r="N7" s="19">
        <v>153667</v>
      </c>
      <c r="O7" s="22">
        <v>598760</v>
      </c>
      <c r="P7" s="19">
        <v>171877</v>
      </c>
      <c r="Q7" s="22">
        <v>468036</v>
      </c>
      <c r="R7" s="19">
        <v>158100</v>
      </c>
      <c r="S7" s="22">
        <v>590638</v>
      </c>
      <c r="T7" s="19">
        <v>42494</v>
      </c>
      <c r="U7" s="22">
        <v>161186</v>
      </c>
      <c r="V7" s="19">
        <v>616468</v>
      </c>
      <c r="W7" s="22">
        <v>2250492</v>
      </c>
      <c r="X7" s="19">
        <v>1096515</v>
      </c>
      <c r="Y7" s="22">
        <v>4216170</v>
      </c>
      <c r="Z7" s="23">
        <v>83934</v>
      </c>
      <c r="AA7" s="24">
        <v>3328216</v>
      </c>
      <c r="AB7" s="19">
        <v>112351</v>
      </c>
      <c r="AC7" s="22">
        <v>401873</v>
      </c>
      <c r="AD7" s="19">
        <v>358584</v>
      </c>
      <c r="AE7" s="22">
        <v>1435776</v>
      </c>
      <c r="AF7" s="19">
        <v>403958</v>
      </c>
      <c r="AG7" s="22">
        <v>1755968</v>
      </c>
      <c r="AH7" s="19">
        <v>194794</v>
      </c>
      <c r="AI7" s="22">
        <v>645983</v>
      </c>
      <c r="AJ7" s="19">
        <v>216887</v>
      </c>
      <c r="AK7" s="22">
        <v>865748</v>
      </c>
      <c r="AL7" s="19"/>
      <c r="AM7" s="22"/>
      <c r="AN7" s="301">
        <v>877518</v>
      </c>
      <c r="AO7" s="305">
        <v>3484095</v>
      </c>
      <c r="AP7" s="25">
        <v>62079</v>
      </c>
      <c r="AQ7" s="26">
        <v>214590</v>
      </c>
      <c r="AR7" s="27">
        <v>65799</v>
      </c>
      <c r="AS7" s="28">
        <v>241143</v>
      </c>
      <c r="AT7" s="19">
        <v>315912</v>
      </c>
      <c r="AU7" s="22">
        <v>1245390</v>
      </c>
      <c r="AV7" s="13">
        <f t="shared" si="0"/>
        <v>7159956</v>
      </c>
      <c r="AW7" s="330">
        <f t="shared" si="1"/>
        <v>30590409</v>
      </c>
      <c r="AX7" s="27">
        <v>43568</v>
      </c>
      <c r="AY7" s="28">
        <v>352133</v>
      </c>
      <c r="AZ7" s="13">
        <f t="shared" si="2"/>
        <v>7203524</v>
      </c>
      <c r="BA7" s="330">
        <f t="shared" si="3"/>
        <v>30942542</v>
      </c>
    </row>
    <row r="8" spans="1:53" ht="28.5" x14ac:dyDescent="0.3">
      <c r="A8" s="296" t="s">
        <v>116</v>
      </c>
      <c r="B8" s="231">
        <v>80098</v>
      </c>
      <c r="C8" s="332">
        <v>176479</v>
      </c>
      <c r="D8" s="19">
        <v>3567</v>
      </c>
      <c r="E8" s="22">
        <v>14571</v>
      </c>
      <c r="F8" s="19">
        <v>10830</v>
      </c>
      <c r="G8" s="22">
        <v>47558</v>
      </c>
      <c r="H8" s="19">
        <v>177470</v>
      </c>
      <c r="I8" s="22">
        <v>1311500</v>
      </c>
      <c r="J8" s="19">
        <v>41068</v>
      </c>
      <c r="K8" s="22">
        <v>117216</v>
      </c>
      <c r="L8" s="19">
        <v>5259</v>
      </c>
      <c r="M8" s="22">
        <v>51031</v>
      </c>
      <c r="N8" s="19">
        <v>21447</v>
      </c>
      <c r="O8" s="22">
        <v>120718</v>
      </c>
      <c r="P8" s="19">
        <v>27126</v>
      </c>
      <c r="Q8" s="22">
        <v>373119</v>
      </c>
      <c r="R8" s="19">
        <v>10633</v>
      </c>
      <c r="S8" s="22">
        <v>74132</v>
      </c>
      <c r="T8" s="19">
        <v>10356</v>
      </c>
      <c r="U8" s="22">
        <v>47291</v>
      </c>
      <c r="V8" s="19">
        <v>380007</v>
      </c>
      <c r="W8" s="22">
        <v>967032</v>
      </c>
      <c r="X8" s="19">
        <v>1498962</v>
      </c>
      <c r="Y8" s="22">
        <v>3347767</v>
      </c>
      <c r="Z8" s="23">
        <v>15558</v>
      </c>
      <c r="AA8" s="24">
        <v>74349</v>
      </c>
      <c r="AB8" s="19">
        <v>23948</v>
      </c>
      <c r="AC8" s="22">
        <v>27310</v>
      </c>
      <c r="AD8" s="19">
        <v>20142</v>
      </c>
      <c r="AE8" s="22">
        <v>140875</v>
      </c>
      <c r="AF8" s="19">
        <v>70880</v>
      </c>
      <c r="AG8" s="22">
        <v>487862</v>
      </c>
      <c r="AH8" s="19"/>
      <c r="AI8" s="22"/>
      <c r="AJ8" s="19">
        <v>112709</v>
      </c>
      <c r="AK8" s="22">
        <v>578341</v>
      </c>
      <c r="AL8" s="19"/>
      <c r="AM8" s="22"/>
      <c r="AN8" s="301">
        <v>288966</v>
      </c>
      <c r="AO8" s="305">
        <v>1111632</v>
      </c>
      <c r="AP8" s="25">
        <v>151655</v>
      </c>
      <c r="AQ8" s="26">
        <v>568413</v>
      </c>
      <c r="AR8" s="27">
        <v>12608</v>
      </c>
      <c r="AS8" s="28">
        <v>37471</v>
      </c>
      <c r="AT8" s="19">
        <v>102223</v>
      </c>
      <c r="AU8" s="22">
        <v>389357</v>
      </c>
      <c r="AV8" s="13">
        <f t="shared" si="0"/>
        <v>3065512</v>
      </c>
      <c r="AW8" s="330">
        <f t="shared" si="1"/>
        <v>10064024</v>
      </c>
      <c r="AX8" s="27">
        <v>18690</v>
      </c>
      <c r="AY8" s="28">
        <v>33922</v>
      </c>
      <c r="AZ8" s="13">
        <f t="shared" si="2"/>
        <v>3084202</v>
      </c>
      <c r="BA8" s="330">
        <f t="shared" si="3"/>
        <v>10097946</v>
      </c>
    </row>
    <row r="9" spans="1:53" ht="28.5" x14ac:dyDescent="0.3">
      <c r="A9" s="296" t="s">
        <v>117</v>
      </c>
      <c r="B9" s="231">
        <v>-2</v>
      </c>
      <c r="C9" s="332">
        <v>-2</v>
      </c>
      <c r="D9" s="19"/>
      <c r="E9" s="22"/>
      <c r="F9" s="19">
        <v>-600</v>
      </c>
      <c r="G9" s="22">
        <v>-705</v>
      </c>
      <c r="H9" s="19">
        <v>-186685</v>
      </c>
      <c r="I9" s="22">
        <v>-461526</v>
      </c>
      <c r="J9" s="19">
        <v>-6829</v>
      </c>
      <c r="K9" s="22">
        <v>-11079</v>
      </c>
      <c r="L9" s="19">
        <v>46</v>
      </c>
      <c r="M9" s="22">
        <v>756</v>
      </c>
      <c r="N9" s="19">
        <v>-55</v>
      </c>
      <c r="O9" s="22">
        <v>-3362</v>
      </c>
      <c r="P9" s="19">
        <v>-40820</v>
      </c>
      <c r="Q9" s="22">
        <v>-78242</v>
      </c>
      <c r="R9" s="19"/>
      <c r="S9" s="22"/>
      <c r="T9" s="19">
        <v>-1130</v>
      </c>
      <c r="U9" s="22">
        <v>-7489</v>
      </c>
      <c r="V9" s="19"/>
      <c r="W9" s="22">
        <v>-337766</v>
      </c>
      <c r="X9" s="19">
        <v>-93865</v>
      </c>
      <c r="Y9" s="22">
        <v>-125521</v>
      </c>
      <c r="Z9" s="23">
        <v>-3244</v>
      </c>
      <c r="AA9" s="24">
        <v>-12681</v>
      </c>
      <c r="AB9" s="19">
        <v>4</v>
      </c>
      <c r="AC9" s="22">
        <v>-237</v>
      </c>
      <c r="AD9" s="19">
        <v>-5908</v>
      </c>
      <c r="AE9" s="22">
        <v>-14511</v>
      </c>
      <c r="AF9" s="19">
        <v>-2064</v>
      </c>
      <c r="AG9" s="22">
        <v>-26230</v>
      </c>
      <c r="AH9" s="19"/>
      <c r="AI9" s="22"/>
      <c r="AJ9" s="19">
        <v>-29584</v>
      </c>
      <c r="AK9" s="22">
        <v>-111044</v>
      </c>
      <c r="AL9" s="19"/>
      <c r="AM9" s="22"/>
      <c r="AN9" s="301">
        <v>-39482</v>
      </c>
      <c r="AO9" s="305">
        <v>-87252</v>
      </c>
      <c r="AP9" s="25">
        <v>-61220</v>
      </c>
      <c r="AQ9" s="26">
        <v>-65657</v>
      </c>
      <c r="AR9" s="27">
        <v>-2028</v>
      </c>
      <c r="AS9" s="28">
        <v>-9938</v>
      </c>
      <c r="AT9" s="19">
        <v>-57290</v>
      </c>
      <c r="AU9" s="22">
        <v>-92364</v>
      </c>
      <c r="AV9" s="13">
        <f t="shared" si="0"/>
        <v>-530756</v>
      </c>
      <c r="AW9" s="330">
        <f t="shared" si="1"/>
        <v>-1444850</v>
      </c>
      <c r="AX9" s="27">
        <v>-3560</v>
      </c>
      <c r="AY9" s="28">
        <v>-6148</v>
      </c>
      <c r="AZ9" s="13">
        <f t="shared" si="2"/>
        <v>-534316</v>
      </c>
      <c r="BA9" s="330">
        <f t="shared" si="3"/>
        <v>-1450998</v>
      </c>
    </row>
    <row r="10" spans="1:53" ht="42.75" x14ac:dyDescent="0.3">
      <c r="A10" s="296" t="s">
        <v>118</v>
      </c>
      <c r="B10" s="12"/>
      <c r="C10" s="331"/>
      <c r="D10" s="31">
        <v>1688</v>
      </c>
      <c r="E10" s="33">
        <v>2695</v>
      </c>
      <c r="F10" s="31"/>
      <c r="G10" s="33"/>
      <c r="H10" s="31">
        <v>-46592</v>
      </c>
      <c r="I10" s="33">
        <v>-112132</v>
      </c>
      <c r="J10" s="31"/>
      <c r="K10" s="33"/>
      <c r="L10" s="31"/>
      <c r="M10" s="33"/>
      <c r="N10" s="31">
        <v>-9204</v>
      </c>
      <c r="O10" s="33">
        <v>-35655</v>
      </c>
      <c r="P10" s="31"/>
      <c r="Q10" s="33"/>
      <c r="R10" s="31"/>
      <c r="S10" s="33"/>
      <c r="T10" s="31"/>
      <c r="U10" s="33"/>
      <c r="V10" s="31">
        <v>-23001</v>
      </c>
      <c r="W10" s="33">
        <v>-77164</v>
      </c>
      <c r="X10" s="31">
        <v>-23241</v>
      </c>
      <c r="Y10" s="33">
        <v>-19327</v>
      </c>
      <c r="Z10" s="23">
        <v>8763</v>
      </c>
      <c r="AA10" s="24">
        <v>33033</v>
      </c>
      <c r="AB10" s="31">
        <v>8989</v>
      </c>
      <c r="AC10" s="33">
        <v>40171</v>
      </c>
      <c r="AD10" s="34"/>
      <c r="AE10" s="35"/>
      <c r="AF10" s="31">
        <f>-2894+3443</f>
        <v>549</v>
      </c>
      <c r="AG10" s="33">
        <f>-39200+5429</f>
        <v>-33771</v>
      </c>
      <c r="AH10" s="31"/>
      <c r="AI10" s="33"/>
      <c r="AJ10" s="31">
        <v>-4322</v>
      </c>
      <c r="AK10" s="33">
        <v>-7514</v>
      </c>
      <c r="AL10" s="19"/>
      <c r="AM10" s="22"/>
      <c r="AN10" s="301">
        <v>13647</v>
      </c>
      <c r="AO10" s="305">
        <v>12174</v>
      </c>
      <c r="AP10" s="25">
        <v>-1610</v>
      </c>
      <c r="AQ10" s="26">
        <v>-6412</v>
      </c>
      <c r="AR10" s="27"/>
      <c r="AS10" s="28"/>
      <c r="AT10" s="31">
        <v>14734</v>
      </c>
      <c r="AU10" s="33">
        <v>14734</v>
      </c>
      <c r="AV10" s="13">
        <f t="shared" si="0"/>
        <v>-59600</v>
      </c>
      <c r="AW10" s="330">
        <f t="shared" si="1"/>
        <v>-189168</v>
      </c>
      <c r="AX10" s="31"/>
      <c r="AY10" s="33"/>
      <c r="AZ10" s="13">
        <f t="shared" si="2"/>
        <v>-59600</v>
      </c>
      <c r="BA10" s="330">
        <f t="shared" si="3"/>
        <v>-189168</v>
      </c>
    </row>
    <row r="11" spans="1:53" x14ac:dyDescent="0.3">
      <c r="A11" s="296" t="s">
        <v>119</v>
      </c>
      <c r="B11" s="231"/>
      <c r="C11" s="332"/>
      <c r="D11" s="19">
        <v>-559</v>
      </c>
      <c r="E11" s="22"/>
      <c r="F11" s="19"/>
      <c r="G11" s="22"/>
      <c r="H11" s="19"/>
      <c r="I11" s="22"/>
      <c r="J11" s="19"/>
      <c r="K11" s="22"/>
      <c r="L11" s="19"/>
      <c r="M11" s="22"/>
      <c r="N11" s="19"/>
      <c r="O11" s="22"/>
      <c r="P11" s="19">
        <v>13301</v>
      </c>
      <c r="Q11" s="22">
        <v>33654</v>
      </c>
      <c r="R11" s="19"/>
      <c r="S11" s="22"/>
      <c r="T11" s="19"/>
      <c r="U11" s="22"/>
      <c r="V11" s="19"/>
      <c r="W11" s="22">
        <v>130180</v>
      </c>
      <c r="X11" s="19">
        <v>42665</v>
      </c>
      <c r="Y11" s="22">
        <v>50286</v>
      </c>
      <c r="Z11" s="19">
        <v>574</v>
      </c>
      <c r="AA11" s="22">
        <v>854</v>
      </c>
      <c r="AB11" s="19">
        <v>1515</v>
      </c>
      <c r="AC11" s="22">
        <v>6861</v>
      </c>
      <c r="AD11" s="19"/>
      <c r="AE11" s="22"/>
      <c r="AF11" s="19"/>
      <c r="AG11" s="22"/>
      <c r="AH11" s="19"/>
      <c r="AI11" s="22"/>
      <c r="AJ11" s="19"/>
      <c r="AK11" s="22"/>
      <c r="AL11" s="19"/>
      <c r="AM11" s="22"/>
      <c r="AN11" s="301">
        <v>25354</v>
      </c>
      <c r="AO11" s="305">
        <v>114653</v>
      </c>
      <c r="AP11" s="25">
        <v>730</v>
      </c>
      <c r="AQ11" s="26">
        <v>2757</v>
      </c>
      <c r="AR11" s="27">
        <v>20</v>
      </c>
      <c r="AS11" s="28">
        <v>52</v>
      </c>
      <c r="AT11" s="19"/>
      <c r="AU11" s="22"/>
      <c r="AV11" s="13">
        <f t="shared" si="0"/>
        <v>83600</v>
      </c>
      <c r="AW11" s="330">
        <f t="shared" si="1"/>
        <v>339297</v>
      </c>
      <c r="AX11" s="27"/>
      <c r="AY11" s="28"/>
      <c r="AZ11" s="13">
        <f t="shared" si="2"/>
        <v>83600</v>
      </c>
      <c r="BA11" s="330">
        <f t="shared" si="3"/>
        <v>339297</v>
      </c>
    </row>
    <row r="12" spans="1:53" s="494" customFormat="1" x14ac:dyDescent="0.3">
      <c r="A12" s="489" t="s">
        <v>250</v>
      </c>
      <c r="B12" s="495">
        <f>SUM(B5:B11)</f>
        <v>2044866</v>
      </c>
      <c r="C12" s="496">
        <f t="shared" ref="C12:AH12" si="4">SUM(C5:C11)</f>
        <v>4306894</v>
      </c>
      <c r="D12" s="495">
        <f t="shared" si="4"/>
        <v>43264</v>
      </c>
      <c r="E12" s="496">
        <f t="shared" si="4"/>
        <v>84776</v>
      </c>
      <c r="F12" s="495">
        <f t="shared" si="4"/>
        <v>375927</v>
      </c>
      <c r="G12" s="496">
        <f t="shared" si="4"/>
        <v>829629</v>
      </c>
      <c r="H12" s="495">
        <f t="shared" si="4"/>
        <v>3437896</v>
      </c>
      <c r="I12" s="496">
        <f t="shared" si="4"/>
        <v>10143674</v>
      </c>
      <c r="J12" s="495">
        <f t="shared" si="4"/>
        <v>2325752</v>
      </c>
      <c r="K12" s="496">
        <f t="shared" si="4"/>
        <v>1749109</v>
      </c>
      <c r="L12" s="495">
        <f t="shared" si="4"/>
        <v>1327515</v>
      </c>
      <c r="M12" s="496">
        <f t="shared" si="4"/>
        <v>1791657</v>
      </c>
      <c r="N12" s="495">
        <f t="shared" si="4"/>
        <v>1063982</v>
      </c>
      <c r="O12" s="496">
        <f t="shared" si="4"/>
        <v>4131591</v>
      </c>
      <c r="P12" s="495">
        <f t="shared" si="4"/>
        <v>185435</v>
      </c>
      <c r="Q12" s="496">
        <f t="shared" si="4"/>
        <v>810518</v>
      </c>
      <c r="R12" s="495">
        <f t="shared" si="4"/>
        <v>1223955</v>
      </c>
      <c r="S12" s="496">
        <f t="shared" si="4"/>
        <v>1719992</v>
      </c>
      <c r="T12" s="495">
        <f t="shared" si="4"/>
        <v>97359</v>
      </c>
      <c r="U12" s="496">
        <f t="shared" si="4"/>
        <v>246627</v>
      </c>
      <c r="V12" s="495">
        <f t="shared" si="4"/>
        <v>4938636</v>
      </c>
      <c r="W12" s="496">
        <f t="shared" si="4"/>
        <v>12954807</v>
      </c>
      <c r="X12" s="495">
        <f t="shared" si="4"/>
        <v>4487642</v>
      </c>
      <c r="Y12" s="496">
        <f t="shared" si="4"/>
        <v>18361511</v>
      </c>
      <c r="Z12" s="495">
        <f t="shared" si="4"/>
        <v>765939</v>
      </c>
      <c r="AA12" s="496">
        <f t="shared" si="4"/>
        <v>4084125</v>
      </c>
      <c r="AB12" s="495">
        <f t="shared" si="4"/>
        <v>593066</v>
      </c>
      <c r="AC12" s="496">
        <f t="shared" si="4"/>
        <v>1105283</v>
      </c>
      <c r="AD12" s="495">
        <f t="shared" si="4"/>
        <v>3297178</v>
      </c>
      <c r="AE12" s="496">
        <f t="shared" si="4"/>
        <v>4486500</v>
      </c>
      <c r="AF12" s="495">
        <f t="shared" si="4"/>
        <v>2302166</v>
      </c>
      <c r="AG12" s="496">
        <f t="shared" si="4"/>
        <v>6175499</v>
      </c>
      <c r="AH12" s="495">
        <f t="shared" si="4"/>
        <v>549421</v>
      </c>
      <c r="AI12" s="496">
        <f t="shared" ref="AI12:AY12" si="5">SUM(AI5:AI11)</f>
        <v>1998863</v>
      </c>
      <c r="AJ12" s="495">
        <f t="shared" si="5"/>
        <v>1611735</v>
      </c>
      <c r="AK12" s="496">
        <f t="shared" si="5"/>
        <v>2641576</v>
      </c>
      <c r="AL12" s="495">
        <f t="shared" si="5"/>
        <v>0</v>
      </c>
      <c r="AM12" s="496">
        <f t="shared" si="5"/>
        <v>0</v>
      </c>
      <c r="AN12" s="495">
        <f t="shared" si="5"/>
        <v>4724130</v>
      </c>
      <c r="AO12" s="496">
        <f t="shared" si="5"/>
        <v>12929319</v>
      </c>
      <c r="AP12" s="495">
        <f t="shared" si="5"/>
        <v>737614</v>
      </c>
      <c r="AQ12" s="496">
        <f t="shared" si="5"/>
        <v>1299671</v>
      </c>
      <c r="AR12" s="495">
        <f t="shared" si="5"/>
        <v>706892</v>
      </c>
      <c r="AS12" s="496">
        <f t="shared" si="5"/>
        <v>1046170</v>
      </c>
      <c r="AT12" s="495">
        <f t="shared" si="5"/>
        <v>1863075</v>
      </c>
      <c r="AU12" s="496">
        <f t="shared" si="5"/>
        <v>3409027</v>
      </c>
      <c r="AV12" s="490">
        <f t="shared" si="0"/>
        <v>38703445</v>
      </c>
      <c r="AW12" s="493">
        <f t="shared" si="1"/>
        <v>96306818</v>
      </c>
      <c r="AX12" s="495">
        <f t="shared" si="5"/>
        <v>24276924</v>
      </c>
      <c r="AY12" s="496">
        <f t="shared" si="5"/>
        <v>24598133</v>
      </c>
      <c r="AZ12" s="490">
        <f t="shared" si="2"/>
        <v>62980369</v>
      </c>
      <c r="BA12" s="493">
        <f t="shared" si="3"/>
        <v>120904951</v>
      </c>
    </row>
    <row r="13" spans="1:53" ht="42.75" x14ac:dyDescent="0.3">
      <c r="A13" s="296" t="s">
        <v>120</v>
      </c>
      <c r="B13" s="231">
        <v>1169882</v>
      </c>
      <c r="C13" s="332">
        <v>1540622</v>
      </c>
      <c r="D13" s="19">
        <v>-54430</v>
      </c>
      <c r="E13" s="22">
        <v>552522</v>
      </c>
      <c r="F13" s="19">
        <v>1097999</v>
      </c>
      <c r="G13" s="22">
        <v>1137926</v>
      </c>
      <c r="H13" s="19">
        <v>192541</v>
      </c>
      <c r="I13" s="22">
        <v>503059</v>
      </c>
      <c r="J13" s="19">
        <v>2221206</v>
      </c>
      <c r="K13" s="22">
        <v>2476381</v>
      </c>
      <c r="L13" s="19">
        <v>19112</v>
      </c>
      <c r="M13" s="22">
        <v>67557</v>
      </c>
      <c r="N13" s="19">
        <v>582691</v>
      </c>
      <c r="O13" s="22">
        <v>955422</v>
      </c>
      <c r="P13" s="19">
        <v>1606084</v>
      </c>
      <c r="Q13" s="22">
        <v>1623699</v>
      </c>
      <c r="R13" s="19">
        <v>9099</v>
      </c>
      <c r="S13" s="22">
        <v>36223</v>
      </c>
      <c r="T13" s="19">
        <v>27599</v>
      </c>
      <c r="U13" s="22">
        <v>55254</v>
      </c>
      <c r="V13" s="19">
        <v>6297</v>
      </c>
      <c r="W13" s="22">
        <v>125411</v>
      </c>
      <c r="X13" s="19">
        <v>124589</v>
      </c>
      <c r="Y13" s="22">
        <v>419756</v>
      </c>
      <c r="Z13" s="19">
        <v>47209</v>
      </c>
      <c r="AA13" s="22">
        <v>74700</v>
      </c>
      <c r="AB13" s="19">
        <v>66936</v>
      </c>
      <c r="AC13" s="22">
        <v>133664</v>
      </c>
      <c r="AD13" s="19">
        <v>48013</v>
      </c>
      <c r="AE13" s="22">
        <v>78220</v>
      </c>
      <c r="AF13" s="19"/>
      <c r="AG13" s="22"/>
      <c r="AH13" s="19">
        <v>38984</v>
      </c>
      <c r="AI13" s="22">
        <v>97631</v>
      </c>
      <c r="AJ13" s="19">
        <v>86841</v>
      </c>
      <c r="AK13" s="22">
        <v>187182</v>
      </c>
      <c r="AL13" s="19"/>
      <c r="AM13" s="22"/>
      <c r="AN13" s="300"/>
      <c r="AO13" s="304"/>
      <c r="AP13" s="25">
        <v>36772</v>
      </c>
      <c r="AQ13" s="26">
        <v>347105</v>
      </c>
      <c r="AR13" s="27">
        <v>101317</v>
      </c>
      <c r="AS13" s="28">
        <v>152303</v>
      </c>
      <c r="AT13" s="19">
        <v>26945</v>
      </c>
      <c r="AU13" s="22">
        <v>107280</v>
      </c>
      <c r="AV13" s="13">
        <f t="shared" si="0"/>
        <v>7455686</v>
      </c>
      <c r="AW13" s="330">
        <f t="shared" si="1"/>
        <v>10671917</v>
      </c>
      <c r="AX13" s="27">
        <v>1056</v>
      </c>
      <c r="AY13" s="28">
        <v>3977</v>
      </c>
      <c r="AZ13" s="13">
        <f t="shared" si="2"/>
        <v>7456742</v>
      </c>
      <c r="BA13" s="330">
        <f t="shared" si="3"/>
        <v>10675894</v>
      </c>
    </row>
    <row r="14" spans="1:53" x14ac:dyDescent="0.3">
      <c r="A14" s="296" t="s">
        <v>121</v>
      </c>
      <c r="B14" s="231"/>
      <c r="C14" s="332"/>
      <c r="D14" s="19"/>
      <c r="E14" s="22"/>
      <c r="F14" s="314"/>
      <c r="G14" s="22"/>
      <c r="H14" s="19"/>
      <c r="I14" s="22"/>
      <c r="J14" s="19"/>
      <c r="K14" s="22"/>
      <c r="L14" s="19"/>
      <c r="M14" s="22"/>
      <c r="N14" s="19"/>
      <c r="O14" s="22"/>
      <c r="P14" s="19"/>
      <c r="Q14" s="22"/>
      <c r="R14" s="19"/>
      <c r="S14" s="22"/>
      <c r="T14" s="19"/>
      <c r="U14" s="22"/>
      <c r="V14" s="19"/>
      <c r="W14" s="22"/>
      <c r="X14" s="19"/>
      <c r="Y14" s="22"/>
      <c r="Z14" s="19"/>
      <c r="AA14" s="22"/>
      <c r="AB14" s="19"/>
      <c r="AC14" s="22"/>
      <c r="AD14" s="19"/>
      <c r="AE14" s="22"/>
      <c r="AF14" s="19"/>
      <c r="AG14" s="22"/>
      <c r="AH14" s="19"/>
      <c r="AI14" s="22"/>
      <c r="AJ14" s="19"/>
      <c r="AK14" s="22"/>
      <c r="AL14" s="19"/>
      <c r="AM14" s="22"/>
      <c r="AN14" s="302"/>
      <c r="AO14" s="306"/>
      <c r="AP14" s="25"/>
      <c r="AQ14" s="26"/>
      <c r="AR14" s="27"/>
      <c r="AS14" s="28"/>
      <c r="AT14" s="19"/>
      <c r="AU14" s="22"/>
      <c r="AV14" s="13">
        <f t="shared" si="0"/>
        <v>0</v>
      </c>
      <c r="AW14" s="330">
        <f t="shared" si="1"/>
        <v>0</v>
      </c>
      <c r="AX14" s="27"/>
      <c r="AY14" s="28"/>
      <c r="AZ14" s="13">
        <f t="shared" si="2"/>
        <v>0</v>
      </c>
      <c r="BA14" s="330">
        <f t="shared" si="3"/>
        <v>0</v>
      </c>
    </row>
    <row r="15" spans="1:53" x14ac:dyDescent="0.3">
      <c r="A15" s="296" t="s">
        <v>122</v>
      </c>
      <c r="B15" s="12"/>
      <c r="C15" s="331"/>
      <c r="D15" s="31"/>
      <c r="E15" s="33"/>
      <c r="F15" s="31"/>
      <c r="G15" s="33"/>
      <c r="H15" s="31"/>
      <c r="I15" s="33"/>
      <c r="J15" s="31"/>
      <c r="K15" s="33"/>
      <c r="L15" s="31"/>
      <c r="M15" s="33"/>
      <c r="N15" s="31"/>
      <c r="O15" s="33"/>
      <c r="P15" s="31"/>
      <c r="Q15" s="33"/>
      <c r="R15" s="31"/>
      <c r="S15" s="33"/>
      <c r="T15" s="31"/>
      <c r="U15" s="33"/>
      <c r="V15" s="31"/>
      <c r="W15" s="33"/>
      <c r="X15" s="31"/>
      <c r="Y15" s="33"/>
      <c r="Z15" s="23"/>
      <c r="AA15" s="24"/>
      <c r="AB15" s="31"/>
      <c r="AC15" s="33"/>
      <c r="AD15" s="34"/>
      <c r="AE15" s="35"/>
      <c r="AF15" s="31"/>
      <c r="AG15" s="33"/>
      <c r="AH15" s="31"/>
      <c r="AI15" s="33"/>
      <c r="AJ15" s="31"/>
      <c r="AK15" s="33"/>
      <c r="AL15" s="19"/>
      <c r="AM15" s="22"/>
      <c r="AN15" s="301">
        <v>1485</v>
      </c>
      <c r="AO15" s="305">
        <v>3797</v>
      </c>
      <c r="AP15" s="25"/>
      <c r="AQ15" s="26"/>
      <c r="AR15" s="27"/>
      <c r="AS15" s="28"/>
      <c r="AT15" s="31"/>
      <c r="AU15" s="33"/>
      <c r="AV15" s="13">
        <f t="shared" si="0"/>
        <v>1485</v>
      </c>
      <c r="AW15" s="330">
        <f t="shared" si="1"/>
        <v>3797</v>
      </c>
      <c r="AX15" s="31"/>
      <c r="AY15" s="33"/>
      <c r="AZ15" s="13">
        <f t="shared" si="2"/>
        <v>1485</v>
      </c>
      <c r="BA15" s="330">
        <f t="shared" si="3"/>
        <v>3797</v>
      </c>
    </row>
    <row r="16" spans="1:53" ht="28.5" x14ac:dyDescent="0.3">
      <c r="A16" s="296" t="s">
        <v>123</v>
      </c>
      <c r="B16" s="231"/>
      <c r="C16" s="332"/>
      <c r="D16" s="19"/>
      <c r="E16" s="22"/>
      <c r="F16" s="19"/>
      <c r="G16" s="22"/>
      <c r="H16" s="19"/>
      <c r="I16" s="22"/>
      <c r="J16" s="19"/>
      <c r="K16" s="22"/>
      <c r="L16" s="19"/>
      <c r="M16" s="22"/>
      <c r="N16" s="19"/>
      <c r="O16" s="22"/>
      <c r="P16" s="19"/>
      <c r="Q16" s="22"/>
      <c r="R16" s="19"/>
      <c r="S16" s="22"/>
      <c r="T16" s="19"/>
      <c r="U16" s="22"/>
      <c r="V16" s="19"/>
      <c r="W16" s="22"/>
      <c r="X16" s="19"/>
      <c r="Y16" s="22"/>
      <c r="Z16" s="23"/>
      <c r="AA16" s="24"/>
      <c r="AB16" s="19"/>
      <c r="AC16" s="22"/>
      <c r="AD16" s="19"/>
      <c r="AE16" s="22"/>
      <c r="AF16" s="19"/>
      <c r="AG16" s="22"/>
      <c r="AH16" s="19"/>
      <c r="AI16" s="22"/>
      <c r="AJ16" s="19"/>
      <c r="AK16" s="22"/>
      <c r="AL16" s="19"/>
      <c r="AM16" s="22"/>
      <c r="AN16" s="301">
        <v>279</v>
      </c>
      <c r="AO16" s="305">
        <v>1484</v>
      </c>
      <c r="AP16" s="25"/>
      <c r="AQ16" s="26"/>
      <c r="AR16" s="27"/>
      <c r="AS16" s="28"/>
      <c r="AT16" s="19"/>
      <c r="AU16" s="22"/>
      <c r="AV16" s="13">
        <f t="shared" si="0"/>
        <v>279</v>
      </c>
      <c r="AW16" s="330">
        <f t="shared" si="1"/>
        <v>1484</v>
      </c>
      <c r="AX16" s="19"/>
      <c r="AY16" s="22"/>
      <c r="AZ16" s="13">
        <f t="shared" si="2"/>
        <v>279</v>
      </c>
      <c r="BA16" s="330">
        <f t="shared" si="3"/>
        <v>1484</v>
      </c>
    </row>
    <row r="17" spans="1:53" x14ac:dyDescent="0.3">
      <c r="A17" s="296" t="s">
        <v>124</v>
      </c>
      <c r="B17" s="231"/>
      <c r="C17" s="332"/>
      <c r="D17" s="19"/>
      <c r="E17" s="22"/>
      <c r="F17" s="19"/>
      <c r="G17" s="22"/>
      <c r="H17" s="19"/>
      <c r="I17" s="22"/>
      <c r="J17" s="19"/>
      <c r="K17" s="22"/>
      <c r="L17" s="19"/>
      <c r="M17" s="22"/>
      <c r="N17" s="19"/>
      <c r="O17" s="22"/>
      <c r="P17" s="19"/>
      <c r="Q17" s="22"/>
      <c r="R17" s="19"/>
      <c r="S17" s="22"/>
      <c r="T17" s="19"/>
      <c r="U17" s="22"/>
      <c r="V17" s="19"/>
      <c r="W17" s="22"/>
      <c r="X17" s="19"/>
      <c r="Y17" s="22"/>
      <c r="Z17" s="23"/>
      <c r="AA17" s="24"/>
      <c r="AB17" s="19"/>
      <c r="AC17" s="22"/>
      <c r="AD17" s="19"/>
      <c r="AE17" s="22"/>
      <c r="AF17" s="19"/>
      <c r="AG17" s="22"/>
      <c r="AH17" s="19"/>
      <c r="AI17" s="22"/>
      <c r="AJ17" s="19"/>
      <c r="AK17" s="22"/>
      <c r="AL17" s="19"/>
      <c r="AM17" s="22"/>
      <c r="AN17" s="301">
        <v>755</v>
      </c>
      <c r="AO17" s="305">
        <v>3020</v>
      </c>
      <c r="AP17" s="25"/>
      <c r="AQ17" s="26"/>
      <c r="AR17" s="27"/>
      <c r="AS17" s="28"/>
      <c r="AT17" s="19"/>
      <c r="AU17" s="22"/>
      <c r="AV17" s="13">
        <f t="shared" si="0"/>
        <v>755</v>
      </c>
      <c r="AW17" s="330">
        <f t="shared" si="1"/>
        <v>3020</v>
      </c>
      <c r="AX17" s="19"/>
      <c r="AY17" s="22"/>
      <c r="AZ17" s="13">
        <f t="shared" si="2"/>
        <v>755</v>
      </c>
      <c r="BA17" s="330">
        <f t="shared" si="3"/>
        <v>3020</v>
      </c>
    </row>
    <row r="18" spans="1:53" x14ac:dyDescent="0.3">
      <c r="A18" s="296" t="s">
        <v>125</v>
      </c>
      <c r="B18" s="231"/>
      <c r="C18" s="332"/>
      <c r="D18" s="19"/>
      <c r="E18" s="22"/>
      <c r="F18" s="19"/>
      <c r="G18" s="22"/>
      <c r="H18" s="19"/>
      <c r="I18" s="22"/>
      <c r="J18" s="19"/>
      <c r="K18" s="22"/>
      <c r="L18" s="19"/>
      <c r="M18" s="22"/>
      <c r="N18" s="19">
        <v>141257</v>
      </c>
      <c r="O18" s="22">
        <v>1744436</v>
      </c>
      <c r="P18" s="19"/>
      <c r="Q18" s="22"/>
      <c r="R18" s="19">
        <v>757707</v>
      </c>
      <c r="S18" s="22">
        <v>757707</v>
      </c>
      <c r="T18" s="19"/>
      <c r="U18" s="22"/>
      <c r="V18" s="19"/>
      <c r="W18" s="22"/>
      <c r="X18" s="19"/>
      <c r="Y18" s="22"/>
      <c r="Z18" s="23"/>
      <c r="AA18" s="24"/>
      <c r="AB18" s="19"/>
      <c r="AC18" s="22"/>
      <c r="AD18" s="19"/>
      <c r="AE18" s="22"/>
      <c r="AF18" s="19">
        <f>-92069+199+46+19990+2711</f>
        <v>-69123</v>
      </c>
      <c r="AG18" s="22">
        <f>-178834-30300+19990+3229+1072</f>
        <v>-184843</v>
      </c>
      <c r="AH18" s="19"/>
      <c r="AI18" s="22"/>
      <c r="AJ18" s="19">
        <v>498234</v>
      </c>
      <c r="AK18" s="22">
        <v>814655</v>
      </c>
      <c r="AL18" s="19"/>
      <c r="AM18" s="22"/>
      <c r="AN18" s="301">
        <v>28238</v>
      </c>
      <c r="AO18" s="305">
        <v>159014</v>
      </c>
      <c r="AP18" s="25"/>
      <c r="AQ18" s="26"/>
      <c r="AR18" s="27"/>
      <c r="AS18" s="28"/>
      <c r="AT18" s="19"/>
      <c r="AU18" s="22"/>
      <c r="AV18" s="13">
        <f t="shared" si="0"/>
        <v>1356313</v>
      </c>
      <c r="AW18" s="330">
        <f t="shared" si="1"/>
        <v>3290969</v>
      </c>
      <c r="AX18" s="19"/>
      <c r="AY18" s="22"/>
      <c r="AZ18" s="13">
        <f t="shared" si="2"/>
        <v>1356313</v>
      </c>
      <c r="BA18" s="330">
        <f t="shared" si="3"/>
        <v>3290969</v>
      </c>
    </row>
    <row r="19" spans="1:53" ht="28.5" x14ac:dyDescent="0.3">
      <c r="A19" s="296" t="s">
        <v>126</v>
      </c>
      <c r="B19" s="231">
        <v>11239</v>
      </c>
      <c r="C19" s="332">
        <v>24964</v>
      </c>
      <c r="D19" s="19"/>
      <c r="E19" s="22"/>
      <c r="F19" s="19"/>
      <c r="G19" s="22"/>
      <c r="H19" s="19"/>
      <c r="I19" s="22"/>
      <c r="J19" s="19"/>
      <c r="K19" s="22"/>
      <c r="L19" s="19"/>
      <c r="M19" s="22"/>
      <c r="N19" s="19"/>
      <c r="O19" s="22"/>
      <c r="P19" s="19"/>
      <c r="Q19" s="22"/>
      <c r="R19" s="19">
        <v>6120</v>
      </c>
      <c r="S19" s="22">
        <v>17770</v>
      </c>
      <c r="T19" s="19"/>
      <c r="U19" s="22"/>
      <c r="V19" s="19"/>
      <c r="W19" s="22"/>
      <c r="X19" s="19"/>
      <c r="Y19" s="22"/>
      <c r="Z19" s="23"/>
      <c r="AA19" s="24"/>
      <c r="AB19" s="19"/>
      <c r="AC19" s="22"/>
      <c r="AD19" s="19">
        <v>10000</v>
      </c>
      <c r="AE19" s="22">
        <v>20000</v>
      </c>
      <c r="AF19" s="19">
        <v>29064</v>
      </c>
      <c r="AG19" s="22">
        <v>117133</v>
      </c>
      <c r="AH19" s="19"/>
      <c r="AI19" s="22"/>
      <c r="AJ19" s="19"/>
      <c r="AK19" s="22"/>
      <c r="AL19" s="19"/>
      <c r="AM19" s="22"/>
      <c r="AN19" s="301">
        <v>39664</v>
      </c>
      <c r="AO19" s="305">
        <v>153647</v>
      </c>
      <c r="AP19" s="25"/>
      <c r="AQ19" s="26"/>
      <c r="AR19" s="27">
        <v>3500</v>
      </c>
      <c r="AS19" s="28">
        <v>14000</v>
      </c>
      <c r="AT19" s="19">
        <v>637</v>
      </c>
      <c r="AU19" s="22">
        <v>2530</v>
      </c>
      <c r="AV19" s="13">
        <f t="shared" si="0"/>
        <v>100224</v>
      </c>
      <c r="AW19" s="330">
        <f t="shared" si="1"/>
        <v>350044</v>
      </c>
      <c r="AX19" s="19"/>
      <c r="AY19" s="22"/>
      <c r="AZ19" s="13">
        <f t="shared" si="2"/>
        <v>100224</v>
      </c>
      <c r="BA19" s="330">
        <f t="shared" si="3"/>
        <v>350044</v>
      </c>
    </row>
    <row r="20" spans="1:53" x14ac:dyDescent="0.3">
      <c r="A20" s="296" t="s">
        <v>127</v>
      </c>
      <c r="B20" s="12"/>
      <c r="C20" s="331"/>
      <c r="D20" s="31">
        <v>2050</v>
      </c>
      <c r="E20" s="33">
        <v>2050</v>
      </c>
      <c r="F20" s="31"/>
      <c r="G20" s="33"/>
      <c r="H20" s="31"/>
      <c r="I20" s="33"/>
      <c r="J20" s="31"/>
      <c r="K20" s="33"/>
      <c r="L20" s="31">
        <v>23</v>
      </c>
      <c r="M20" s="33">
        <v>251</v>
      </c>
      <c r="N20" s="31"/>
      <c r="O20" s="33"/>
      <c r="P20" s="31"/>
      <c r="Q20" s="33"/>
      <c r="R20" s="31"/>
      <c r="S20" s="33"/>
      <c r="T20" s="31"/>
      <c r="U20" s="33"/>
      <c r="V20" s="31"/>
      <c r="W20" s="33"/>
      <c r="X20" s="31"/>
      <c r="Y20" s="33"/>
      <c r="Z20" s="23"/>
      <c r="AA20" s="24"/>
      <c r="AB20" s="31"/>
      <c r="AC20" s="33"/>
      <c r="AD20" s="34"/>
      <c r="AE20" s="35"/>
      <c r="AF20" s="31"/>
      <c r="AG20" s="33"/>
      <c r="AH20" s="31"/>
      <c r="AI20" s="33"/>
      <c r="AJ20" s="31"/>
      <c r="AK20" s="33"/>
      <c r="AL20" s="19"/>
      <c r="AM20" s="22"/>
      <c r="AN20" s="302"/>
      <c r="AO20" s="306"/>
      <c r="AP20" s="25"/>
      <c r="AQ20" s="26"/>
      <c r="AR20" s="27">
        <v>381</v>
      </c>
      <c r="AS20" s="28">
        <v>381</v>
      </c>
      <c r="AT20" s="31">
        <v>-83</v>
      </c>
      <c r="AU20" s="33">
        <v>-83</v>
      </c>
      <c r="AV20" s="13">
        <f t="shared" si="0"/>
        <v>2371</v>
      </c>
      <c r="AW20" s="330">
        <f t="shared" si="1"/>
        <v>2599</v>
      </c>
      <c r="AX20" s="31"/>
      <c r="AY20" s="33"/>
      <c r="AZ20" s="13">
        <f t="shared" si="2"/>
        <v>2371</v>
      </c>
      <c r="BA20" s="330">
        <f t="shared" si="3"/>
        <v>2599</v>
      </c>
    </row>
    <row r="21" spans="1:53" ht="28.5" x14ac:dyDescent="0.3">
      <c r="A21" s="296" t="s">
        <v>128</v>
      </c>
      <c r="B21" s="231">
        <v>406226</v>
      </c>
      <c r="C21" s="332">
        <v>1066492</v>
      </c>
      <c r="D21" s="19">
        <v>600000</v>
      </c>
      <c r="E21" s="22">
        <v>600000</v>
      </c>
      <c r="F21" s="19">
        <v>-748611</v>
      </c>
      <c r="G21" s="22">
        <v>211911</v>
      </c>
      <c r="H21" s="19">
        <v>1325626</v>
      </c>
      <c r="I21" s="22">
        <v>1574468</v>
      </c>
      <c r="J21" s="19"/>
      <c r="K21" s="22"/>
      <c r="L21" s="314">
        <f>35821-3819-1294</f>
        <v>30708</v>
      </c>
      <c r="M21" s="22">
        <v>42191</v>
      </c>
      <c r="N21" s="314">
        <v>-24199</v>
      </c>
      <c r="O21" s="22">
        <v>216379</v>
      </c>
      <c r="P21" s="19">
        <v>-450276</v>
      </c>
      <c r="Q21" s="22">
        <v>1513776</v>
      </c>
      <c r="R21" s="19">
        <v>-291133</v>
      </c>
      <c r="S21" s="22">
        <v>308042</v>
      </c>
      <c r="T21" s="19">
        <v>28010</v>
      </c>
      <c r="U21" s="22">
        <v>1624888</v>
      </c>
      <c r="V21" s="19">
        <v>1540784</v>
      </c>
      <c r="W21" s="22">
        <v>1566482</v>
      </c>
      <c r="X21" s="19">
        <v>752784</v>
      </c>
      <c r="Y21" s="22">
        <v>752784</v>
      </c>
      <c r="Z21" s="23"/>
      <c r="AA21" s="24"/>
      <c r="AB21" s="19">
        <v>41525</v>
      </c>
      <c r="AC21" s="22">
        <v>457471</v>
      </c>
      <c r="AD21" s="19">
        <v>18883</v>
      </c>
      <c r="AE21" s="22">
        <v>43079</v>
      </c>
      <c r="AF21" s="19">
        <v>87906</v>
      </c>
      <c r="AG21" s="22">
        <v>91467</v>
      </c>
      <c r="AH21" s="19">
        <v>214181</v>
      </c>
      <c r="AI21" s="22">
        <v>484308</v>
      </c>
      <c r="AJ21" s="19">
        <v>686535</v>
      </c>
      <c r="AK21" s="22">
        <v>1634425</v>
      </c>
      <c r="AL21" s="19"/>
      <c r="AM21" s="22"/>
      <c r="AN21" s="302">
        <v>756382</v>
      </c>
      <c r="AO21" s="306">
        <v>756382</v>
      </c>
      <c r="AP21" s="25">
        <v>6215</v>
      </c>
      <c r="AQ21" s="26">
        <v>20937</v>
      </c>
      <c r="AR21" s="27">
        <f>-7552-543-6666</f>
        <v>-14761</v>
      </c>
      <c r="AS21" s="28">
        <f>17765+96808</f>
        <v>114573</v>
      </c>
      <c r="AT21" s="19">
        <v>667621</v>
      </c>
      <c r="AU21" s="22">
        <v>1432482</v>
      </c>
      <c r="AV21" s="13">
        <f t="shared" si="0"/>
        <v>5634406</v>
      </c>
      <c r="AW21" s="330">
        <f t="shared" si="1"/>
        <v>14512537</v>
      </c>
      <c r="AX21" s="27"/>
      <c r="AY21" s="28"/>
      <c r="AZ21" s="13">
        <f t="shared" si="2"/>
        <v>5634406</v>
      </c>
      <c r="BA21" s="330">
        <f t="shared" si="3"/>
        <v>14512537</v>
      </c>
    </row>
    <row r="22" spans="1:53" x14ac:dyDescent="0.3">
      <c r="A22" s="296" t="s">
        <v>129</v>
      </c>
      <c r="B22" s="231"/>
      <c r="C22" s="332"/>
      <c r="D22" s="19"/>
      <c r="E22" s="22"/>
      <c r="F22" s="19"/>
      <c r="G22" s="22"/>
      <c r="H22" s="19"/>
      <c r="I22" s="22"/>
      <c r="J22" s="19"/>
      <c r="K22" s="22"/>
      <c r="L22" s="19"/>
      <c r="M22" s="22"/>
      <c r="N22" s="19"/>
      <c r="O22" s="22"/>
      <c r="P22" s="19"/>
      <c r="Q22" s="22"/>
      <c r="R22" s="19"/>
      <c r="S22" s="22"/>
      <c r="T22" s="19"/>
      <c r="U22" s="22"/>
      <c r="V22" s="19"/>
      <c r="W22" s="22"/>
      <c r="X22" s="19"/>
      <c r="Y22" s="22"/>
      <c r="Z22" s="23"/>
      <c r="AA22" s="24"/>
      <c r="AB22" s="19"/>
      <c r="AC22" s="22"/>
      <c r="AD22" s="19"/>
      <c r="AE22" s="22"/>
      <c r="AF22" s="19"/>
      <c r="AG22" s="22"/>
      <c r="AH22" s="19"/>
      <c r="AI22" s="22"/>
      <c r="AJ22" s="19"/>
      <c r="AK22" s="22"/>
      <c r="AL22" s="19"/>
      <c r="AM22" s="22"/>
      <c r="AN22" s="300"/>
      <c r="AO22" s="304"/>
      <c r="AP22" s="25"/>
      <c r="AQ22" s="26"/>
      <c r="AR22" s="27"/>
      <c r="AS22" s="28"/>
      <c r="AT22" s="19"/>
      <c r="AU22" s="22"/>
      <c r="AV22" s="13">
        <f t="shared" si="0"/>
        <v>0</v>
      </c>
      <c r="AW22" s="330">
        <f t="shared" si="1"/>
        <v>0</v>
      </c>
      <c r="AX22" s="27"/>
      <c r="AY22" s="28"/>
      <c r="AZ22" s="13">
        <f t="shared" si="2"/>
        <v>0</v>
      </c>
      <c r="BA22" s="330">
        <f t="shared" si="3"/>
        <v>0</v>
      </c>
    </row>
    <row r="23" spans="1:53" ht="28.5" x14ac:dyDescent="0.3">
      <c r="A23" s="296" t="s">
        <v>130</v>
      </c>
      <c r="B23" s="231"/>
      <c r="C23" s="332">
        <v>6499</v>
      </c>
      <c r="D23" s="19"/>
      <c r="E23" s="22"/>
      <c r="F23" s="19"/>
      <c r="G23" s="22"/>
      <c r="H23" s="19"/>
      <c r="I23" s="22"/>
      <c r="J23" s="19"/>
      <c r="K23" s="22"/>
      <c r="L23" s="19"/>
      <c r="M23" s="22"/>
      <c r="N23" s="19"/>
      <c r="O23" s="22"/>
      <c r="P23" s="19"/>
      <c r="Q23" s="22"/>
      <c r="R23" s="19"/>
      <c r="S23" s="22"/>
      <c r="T23" s="19"/>
      <c r="U23" s="22"/>
      <c r="V23" s="19">
        <v>2628</v>
      </c>
      <c r="W23" s="22">
        <v>-4064</v>
      </c>
      <c r="X23" s="19"/>
      <c r="Y23" s="22"/>
      <c r="Z23" s="23"/>
      <c r="AA23" s="24"/>
      <c r="AB23" s="19"/>
      <c r="AC23" s="22"/>
      <c r="AD23" s="19"/>
      <c r="AE23" s="22"/>
      <c r="AF23" s="19"/>
      <c r="AG23" s="22"/>
      <c r="AH23" s="19"/>
      <c r="AI23" s="22"/>
      <c r="AJ23" s="19"/>
      <c r="AK23" s="22"/>
      <c r="AL23" s="19"/>
      <c r="AM23" s="22"/>
      <c r="AN23" s="301">
        <v>5868</v>
      </c>
      <c r="AO23" s="305">
        <v>7392</v>
      </c>
      <c r="AP23" s="25"/>
      <c r="AQ23" s="26"/>
      <c r="AR23" s="27"/>
      <c r="AS23" s="28"/>
      <c r="AT23" s="19"/>
      <c r="AU23" s="22"/>
      <c r="AV23" s="13">
        <f t="shared" si="0"/>
        <v>8496</v>
      </c>
      <c r="AW23" s="330">
        <f t="shared" si="1"/>
        <v>9827</v>
      </c>
      <c r="AX23" s="27"/>
      <c r="AY23" s="28"/>
      <c r="AZ23" s="13">
        <f t="shared" si="2"/>
        <v>8496</v>
      </c>
      <c r="BA23" s="330">
        <f t="shared" si="3"/>
        <v>9827</v>
      </c>
    </row>
    <row r="24" spans="1:53" x14ac:dyDescent="0.3">
      <c r="A24" s="296" t="s">
        <v>131</v>
      </c>
      <c r="B24" s="231"/>
      <c r="C24" s="332"/>
      <c r="D24" s="19">
        <v>458</v>
      </c>
      <c r="E24" s="22">
        <v>458</v>
      </c>
      <c r="F24" s="19"/>
      <c r="G24" s="22"/>
      <c r="H24" s="19"/>
      <c r="I24" s="22"/>
      <c r="J24" s="19"/>
      <c r="K24" s="22"/>
      <c r="L24" s="19">
        <v>3437</v>
      </c>
      <c r="M24" s="22">
        <v>3210</v>
      </c>
      <c r="N24" s="19"/>
      <c r="O24" s="22"/>
      <c r="P24" s="19"/>
      <c r="Q24" s="22"/>
      <c r="R24" s="19"/>
      <c r="S24" s="22"/>
      <c r="T24" s="19"/>
      <c r="U24" s="22"/>
      <c r="V24" s="19"/>
      <c r="W24" s="22"/>
      <c r="X24" s="19"/>
      <c r="Y24" s="22"/>
      <c r="Z24" s="23"/>
      <c r="AA24" s="24"/>
      <c r="AB24" s="19">
        <v>326</v>
      </c>
      <c r="AC24" s="22">
        <v>2079</v>
      </c>
      <c r="AD24" s="19"/>
      <c r="AE24" s="22"/>
      <c r="AF24" s="19"/>
      <c r="AG24" s="22"/>
      <c r="AH24" s="19"/>
      <c r="AI24" s="22"/>
      <c r="AJ24" s="19"/>
      <c r="AK24" s="22"/>
      <c r="AL24" s="19"/>
      <c r="AM24" s="22"/>
      <c r="AN24" s="302"/>
      <c r="AO24" s="306"/>
      <c r="AP24" s="25"/>
      <c r="AQ24" s="26"/>
      <c r="AR24" s="27">
        <v>-595</v>
      </c>
      <c r="AS24" s="28">
        <v>5968</v>
      </c>
      <c r="AT24" s="19">
        <v>9584</v>
      </c>
      <c r="AU24" s="22">
        <v>9584</v>
      </c>
      <c r="AV24" s="13">
        <f t="shared" si="0"/>
        <v>13210</v>
      </c>
      <c r="AW24" s="330">
        <f t="shared" si="1"/>
        <v>21299</v>
      </c>
      <c r="AX24" s="27"/>
      <c r="AY24" s="28"/>
      <c r="AZ24" s="13">
        <f t="shared" si="2"/>
        <v>13210</v>
      </c>
      <c r="BA24" s="330">
        <f t="shared" si="3"/>
        <v>21299</v>
      </c>
    </row>
    <row r="25" spans="1:53" x14ac:dyDescent="0.3">
      <c r="A25" s="296" t="s">
        <v>185</v>
      </c>
      <c r="B25" s="231"/>
      <c r="C25" s="332"/>
      <c r="D25" s="19"/>
      <c r="E25" s="22"/>
      <c r="F25" s="19"/>
      <c r="G25" s="22"/>
      <c r="H25" s="19"/>
      <c r="I25" s="22"/>
      <c r="J25" s="19"/>
      <c r="K25" s="22"/>
      <c r="L25" s="19"/>
      <c r="M25" s="22"/>
      <c r="N25" s="19"/>
      <c r="O25" s="22"/>
      <c r="P25" s="19"/>
      <c r="Q25" s="22"/>
      <c r="R25" s="19"/>
      <c r="S25" s="22"/>
      <c r="T25" s="19"/>
      <c r="U25" s="22"/>
      <c r="V25" s="19">
        <v>-605</v>
      </c>
      <c r="W25" s="22">
        <v>-468</v>
      </c>
      <c r="X25" s="19"/>
      <c r="Y25" s="22"/>
      <c r="Z25" s="23"/>
      <c r="AA25" s="24"/>
      <c r="AB25" s="19"/>
      <c r="AC25" s="22"/>
      <c r="AD25" s="19"/>
      <c r="AE25" s="22"/>
      <c r="AF25" s="19"/>
      <c r="AG25" s="22"/>
      <c r="AH25" s="19"/>
      <c r="AI25" s="22"/>
      <c r="AJ25" s="19"/>
      <c r="AK25" s="22"/>
      <c r="AL25" s="19"/>
      <c r="AM25" s="22"/>
      <c r="AN25" s="302"/>
      <c r="AO25" s="306"/>
      <c r="AP25" s="407"/>
      <c r="AQ25" s="26"/>
      <c r="AR25" s="27"/>
      <c r="AS25" s="28"/>
      <c r="AT25" s="19"/>
      <c r="AU25" s="22"/>
      <c r="AV25" s="13"/>
      <c r="AW25" s="406"/>
      <c r="AX25" s="27"/>
      <c r="AY25" s="28"/>
      <c r="AZ25" s="13"/>
      <c r="BA25" s="406"/>
    </row>
    <row r="26" spans="1:53" s="494" customFormat="1" x14ac:dyDescent="0.3">
      <c r="A26" s="489" t="s">
        <v>249</v>
      </c>
      <c r="B26" s="491">
        <f t="shared" ref="B26:AG26" si="6">SUM(B13:B24)</f>
        <v>1587347</v>
      </c>
      <c r="C26" s="492">
        <f t="shared" si="6"/>
        <v>2638577</v>
      </c>
      <c r="D26" s="491">
        <f t="shared" si="6"/>
        <v>548078</v>
      </c>
      <c r="E26" s="492">
        <f t="shared" si="6"/>
        <v>1155030</v>
      </c>
      <c r="F26" s="491">
        <f t="shared" si="6"/>
        <v>349388</v>
      </c>
      <c r="G26" s="492">
        <f t="shared" si="6"/>
        <v>1349837</v>
      </c>
      <c r="H26" s="491">
        <f t="shared" si="6"/>
        <v>1518167</v>
      </c>
      <c r="I26" s="492">
        <f t="shared" si="6"/>
        <v>2077527</v>
      </c>
      <c r="J26" s="491">
        <f t="shared" si="6"/>
        <v>2221206</v>
      </c>
      <c r="K26" s="492">
        <f t="shared" si="6"/>
        <v>2476381</v>
      </c>
      <c r="L26" s="491">
        <f t="shared" si="6"/>
        <v>53280</v>
      </c>
      <c r="M26" s="492">
        <f t="shared" si="6"/>
        <v>113209</v>
      </c>
      <c r="N26" s="491">
        <f t="shared" si="6"/>
        <v>699749</v>
      </c>
      <c r="O26" s="492">
        <f t="shared" si="6"/>
        <v>2916237</v>
      </c>
      <c r="P26" s="491">
        <f t="shared" si="6"/>
        <v>1155808</v>
      </c>
      <c r="Q26" s="492">
        <f t="shared" si="6"/>
        <v>3137475</v>
      </c>
      <c r="R26" s="491">
        <f t="shared" si="6"/>
        <v>481793</v>
      </c>
      <c r="S26" s="492">
        <f t="shared" si="6"/>
        <v>1119742</v>
      </c>
      <c r="T26" s="491">
        <f t="shared" si="6"/>
        <v>55609</v>
      </c>
      <c r="U26" s="492">
        <f t="shared" si="6"/>
        <v>1680142</v>
      </c>
      <c r="V26" s="491">
        <f t="shared" si="6"/>
        <v>1549709</v>
      </c>
      <c r="W26" s="492">
        <f t="shared" si="6"/>
        <v>1687829</v>
      </c>
      <c r="X26" s="491">
        <f t="shared" si="6"/>
        <v>877373</v>
      </c>
      <c r="Y26" s="492">
        <f t="shared" si="6"/>
        <v>1172540</v>
      </c>
      <c r="Z26" s="491">
        <f t="shared" si="6"/>
        <v>47209</v>
      </c>
      <c r="AA26" s="492">
        <f t="shared" si="6"/>
        <v>74700</v>
      </c>
      <c r="AB26" s="491">
        <f t="shared" si="6"/>
        <v>108787</v>
      </c>
      <c r="AC26" s="492">
        <f t="shared" si="6"/>
        <v>593214</v>
      </c>
      <c r="AD26" s="491">
        <f t="shared" si="6"/>
        <v>76896</v>
      </c>
      <c r="AE26" s="492">
        <f t="shared" si="6"/>
        <v>141299</v>
      </c>
      <c r="AF26" s="491">
        <f t="shared" si="6"/>
        <v>47847</v>
      </c>
      <c r="AG26" s="492">
        <f t="shared" si="6"/>
        <v>23757</v>
      </c>
      <c r="AH26" s="491">
        <f t="shared" ref="AH26:AU26" si="7">SUM(AH13:AH24)</f>
        <v>253165</v>
      </c>
      <c r="AI26" s="492">
        <f t="shared" si="7"/>
        <v>581939</v>
      </c>
      <c r="AJ26" s="491">
        <f t="shared" si="7"/>
        <v>1271610</v>
      </c>
      <c r="AK26" s="492">
        <f t="shared" si="7"/>
        <v>2636262</v>
      </c>
      <c r="AL26" s="491">
        <f t="shared" si="7"/>
        <v>0</v>
      </c>
      <c r="AM26" s="492">
        <f t="shared" si="7"/>
        <v>0</v>
      </c>
      <c r="AN26" s="491">
        <f t="shared" si="7"/>
        <v>832671</v>
      </c>
      <c r="AO26" s="492">
        <f t="shared" si="7"/>
        <v>1084736</v>
      </c>
      <c r="AP26" s="492">
        <f t="shared" si="7"/>
        <v>42987</v>
      </c>
      <c r="AQ26" s="492">
        <f t="shared" si="7"/>
        <v>368042</v>
      </c>
      <c r="AR26" s="491">
        <f t="shared" si="7"/>
        <v>89842</v>
      </c>
      <c r="AS26" s="492">
        <f t="shared" si="7"/>
        <v>287225</v>
      </c>
      <c r="AT26" s="491">
        <f t="shared" si="7"/>
        <v>704704</v>
      </c>
      <c r="AU26" s="492">
        <f t="shared" si="7"/>
        <v>1551793</v>
      </c>
      <c r="AV26" s="490">
        <f t="shared" ref="AV26:AV37" si="8">SUM(B26+D26+F26+H26+J26+L26+N26+P26+R26+T26+V26+X26+Z26+AB26+AD26+AF26+AH26+AJ26+AL26+AN26+AP26+AR26+AT26)</f>
        <v>14573225</v>
      </c>
      <c r="AW26" s="493">
        <f t="shared" ref="AW26:AW37" si="9">SUM(C26+E26+G26+I26+K26+M26+O26+Q26+S26+U26+W26+Y26+AA26+AC26+AE26+AG26+AI26+AK26+AM26+AO26+AQ26+AS26+AU26)</f>
        <v>28867493</v>
      </c>
      <c r="AX26" s="491">
        <f>SUM(AX13:AX24)</f>
        <v>1056</v>
      </c>
      <c r="AY26" s="492">
        <f>SUM(AY13:AY24)</f>
        <v>3977</v>
      </c>
      <c r="AZ26" s="490">
        <f t="shared" ref="AZ26:AZ37" si="10">AV26+AX26</f>
        <v>14574281</v>
      </c>
      <c r="BA26" s="493">
        <f t="shared" ref="BA26:BA37" si="11">AW26+AY26</f>
        <v>28871470</v>
      </c>
    </row>
    <row r="27" spans="1:53" x14ac:dyDescent="0.3">
      <c r="A27" s="296" t="s">
        <v>132</v>
      </c>
      <c r="B27" s="231">
        <v>457519</v>
      </c>
      <c r="C27" s="332">
        <v>1668317</v>
      </c>
      <c r="D27" s="19">
        <v>-504814</v>
      </c>
      <c r="E27" s="22">
        <v>-1070254</v>
      </c>
      <c r="F27" s="19">
        <v>26539</v>
      </c>
      <c r="G27" s="22">
        <v>-520208</v>
      </c>
      <c r="H27" s="19">
        <v>1919729</v>
      </c>
      <c r="I27" s="22">
        <v>8066147</v>
      </c>
      <c r="J27" s="19">
        <v>104546</v>
      </c>
      <c r="K27" s="22">
        <v>-727272</v>
      </c>
      <c r="L27" s="19">
        <v>1274235</v>
      </c>
      <c r="M27" s="22">
        <v>1678448</v>
      </c>
      <c r="N27" s="19">
        <v>364233</v>
      </c>
      <c r="O27" s="22">
        <v>1215354</v>
      </c>
      <c r="P27" s="19">
        <v>-970433</v>
      </c>
      <c r="Q27" s="22">
        <v>-2326957</v>
      </c>
      <c r="R27" s="19">
        <v>742162</v>
      </c>
      <c r="S27" s="22">
        <v>600248</v>
      </c>
      <c r="T27" s="19">
        <v>41750</v>
      </c>
      <c r="U27" s="22">
        <v>-1433515</v>
      </c>
      <c r="V27" s="19">
        <v>3389532</v>
      </c>
      <c r="W27" s="22">
        <v>11267446</v>
      </c>
      <c r="X27" s="19">
        <v>3610269</v>
      </c>
      <c r="Y27" s="22">
        <v>17188971</v>
      </c>
      <c r="Z27" s="23">
        <v>718730</v>
      </c>
      <c r="AA27" s="24">
        <v>1009425</v>
      </c>
      <c r="AB27" s="19">
        <v>484271</v>
      </c>
      <c r="AC27" s="22">
        <v>512068</v>
      </c>
      <c r="AD27" s="19">
        <v>3220282</v>
      </c>
      <c r="AE27" s="22">
        <v>4345201</v>
      </c>
      <c r="AF27" s="19">
        <v>2254319</v>
      </c>
      <c r="AG27" s="22">
        <v>6151742</v>
      </c>
      <c r="AH27" s="19">
        <v>296256</v>
      </c>
      <c r="AI27" s="22">
        <v>1416924</v>
      </c>
      <c r="AJ27" s="19">
        <v>340125</v>
      </c>
      <c r="AK27" s="22">
        <v>5314</v>
      </c>
      <c r="AL27" s="19"/>
      <c r="AM27" s="22"/>
      <c r="AN27" s="301">
        <v>3891460</v>
      </c>
      <c r="AO27" s="305">
        <v>11844583</v>
      </c>
      <c r="AP27" s="25">
        <v>694626</v>
      </c>
      <c r="AQ27" s="26">
        <v>931628</v>
      </c>
      <c r="AR27" s="27">
        <v>617050</v>
      </c>
      <c r="AS27" s="28">
        <v>758945</v>
      </c>
      <c r="AT27" s="19">
        <v>1158371</v>
      </c>
      <c r="AU27" s="22">
        <v>1857234</v>
      </c>
      <c r="AV27" s="13">
        <f t="shared" si="8"/>
        <v>24130757</v>
      </c>
      <c r="AW27" s="330">
        <f t="shared" si="9"/>
        <v>64439789</v>
      </c>
      <c r="AX27" s="27">
        <v>24275868</v>
      </c>
      <c r="AY27" s="28">
        <v>24594156</v>
      </c>
      <c r="AZ27" s="13">
        <f t="shared" si="10"/>
        <v>48406625</v>
      </c>
      <c r="BA27" s="330">
        <f t="shared" si="11"/>
        <v>89033945</v>
      </c>
    </row>
    <row r="28" spans="1:53" x14ac:dyDescent="0.3">
      <c r="A28" s="296" t="s">
        <v>133</v>
      </c>
      <c r="B28" s="231"/>
      <c r="C28" s="332"/>
      <c r="D28" s="19"/>
      <c r="E28" s="22"/>
      <c r="F28" s="19"/>
      <c r="G28" s="22"/>
      <c r="H28" s="19"/>
      <c r="I28" s="22"/>
      <c r="J28" s="19"/>
      <c r="K28" s="22"/>
      <c r="L28" s="19"/>
      <c r="M28" s="22"/>
      <c r="N28" s="19"/>
      <c r="O28" s="22"/>
      <c r="P28" s="19"/>
      <c r="Q28" s="22"/>
      <c r="R28" s="19"/>
      <c r="S28" s="22"/>
      <c r="T28" s="19"/>
      <c r="U28" s="22"/>
      <c r="V28" s="19">
        <v>-78899</v>
      </c>
      <c r="W28" s="22">
        <v>177412</v>
      </c>
      <c r="X28" s="19">
        <v>-207633</v>
      </c>
      <c r="Y28" s="22">
        <v>-997367</v>
      </c>
      <c r="Z28" s="23"/>
      <c r="AA28" s="24"/>
      <c r="AB28" s="19"/>
      <c r="AC28" s="22"/>
      <c r="AD28" s="19">
        <v>39514</v>
      </c>
      <c r="AE28" s="22">
        <v>211097</v>
      </c>
      <c r="AF28" s="19">
        <v>232129</v>
      </c>
      <c r="AG28" s="22">
        <v>875455</v>
      </c>
      <c r="AH28" s="19"/>
      <c r="AI28" s="22"/>
      <c r="AJ28" s="19"/>
      <c r="AK28" s="22"/>
      <c r="AL28" s="19"/>
      <c r="AM28" s="22"/>
      <c r="AN28" s="300"/>
      <c r="AO28" s="304"/>
      <c r="AP28" s="25"/>
      <c r="AQ28" s="26"/>
      <c r="AR28" s="27"/>
      <c r="AS28" s="28"/>
      <c r="AT28" s="19">
        <v>-932</v>
      </c>
      <c r="AU28" s="22">
        <v>-158439</v>
      </c>
      <c r="AV28" s="13">
        <f t="shared" si="8"/>
        <v>-15821</v>
      </c>
      <c r="AW28" s="330">
        <f t="shared" si="9"/>
        <v>108158</v>
      </c>
      <c r="AX28" s="27">
        <v>19949</v>
      </c>
      <c r="AY28" s="28">
        <v>130102</v>
      </c>
      <c r="AZ28" s="13">
        <f t="shared" si="10"/>
        <v>4128</v>
      </c>
      <c r="BA28" s="330">
        <f t="shared" si="11"/>
        <v>238260</v>
      </c>
    </row>
    <row r="29" spans="1:53" x14ac:dyDescent="0.3">
      <c r="A29" s="296" t="s">
        <v>134</v>
      </c>
      <c r="B29" s="231"/>
      <c r="C29" s="332"/>
      <c r="D29" s="19"/>
      <c r="E29" s="22"/>
      <c r="F29" s="19"/>
      <c r="G29" s="22"/>
      <c r="H29" s="19">
        <v>208095</v>
      </c>
      <c r="I29" s="22">
        <v>904990</v>
      </c>
      <c r="J29" s="19"/>
      <c r="K29" s="22"/>
      <c r="L29" s="19"/>
      <c r="M29" s="22"/>
      <c r="N29" s="19">
        <v>-46895</v>
      </c>
      <c r="O29" s="22">
        <v>-156476</v>
      </c>
      <c r="P29" s="19"/>
      <c r="Q29" s="22"/>
      <c r="R29" s="19">
        <v>2082</v>
      </c>
      <c r="S29" s="22">
        <v>2082</v>
      </c>
      <c r="T29" s="19"/>
      <c r="U29" s="22"/>
      <c r="V29" s="19"/>
      <c r="W29" s="22"/>
      <c r="X29" s="19">
        <v>-9</v>
      </c>
      <c r="Y29" s="22">
        <v>49</v>
      </c>
      <c r="Z29" s="23"/>
      <c r="AA29" s="24"/>
      <c r="AB29" s="19"/>
      <c r="AC29" s="22"/>
      <c r="AD29" s="19"/>
      <c r="AE29" s="22"/>
      <c r="AF29" s="19"/>
      <c r="AG29" s="22"/>
      <c r="AH29" s="19"/>
      <c r="AI29" s="22"/>
      <c r="AJ29" s="19"/>
      <c r="AK29" s="22"/>
      <c r="AL29" s="19"/>
      <c r="AM29" s="22"/>
      <c r="AN29" s="300"/>
      <c r="AO29" s="304"/>
      <c r="AP29" s="25"/>
      <c r="AQ29" s="26"/>
      <c r="AR29" s="27"/>
      <c r="AS29" s="28"/>
      <c r="AT29" s="19"/>
      <c r="AU29" s="22"/>
      <c r="AV29" s="13">
        <f t="shared" si="8"/>
        <v>163273</v>
      </c>
      <c r="AW29" s="330">
        <f t="shared" si="9"/>
        <v>750645</v>
      </c>
      <c r="AX29" s="27"/>
      <c r="AY29" s="28"/>
      <c r="AZ29" s="13">
        <f t="shared" si="10"/>
        <v>163273</v>
      </c>
      <c r="BA29" s="330">
        <f t="shared" si="11"/>
        <v>750645</v>
      </c>
    </row>
    <row r="30" spans="1:53" x14ac:dyDescent="0.3">
      <c r="A30" s="296" t="s">
        <v>135</v>
      </c>
      <c r="B30" s="231"/>
      <c r="C30" s="332"/>
      <c r="D30" s="19"/>
      <c r="E30" s="22"/>
      <c r="F30" s="19"/>
      <c r="G30" s="22"/>
      <c r="H30" s="19"/>
      <c r="I30" s="22"/>
      <c r="J30" s="19"/>
      <c r="K30" s="22"/>
      <c r="L30" s="19"/>
      <c r="M30" s="22"/>
      <c r="N30" s="19"/>
      <c r="O30" s="22"/>
      <c r="P30" s="19"/>
      <c r="Q30" s="22"/>
      <c r="R30" s="19"/>
      <c r="S30" s="22"/>
      <c r="T30" s="19"/>
      <c r="U30" s="22"/>
      <c r="V30" s="19"/>
      <c r="W30" s="22"/>
      <c r="X30" s="19"/>
      <c r="Y30" s="22"/>
      <c r="Z30" s="23"/>
      <c r="AA30" s="24"/>
      <c r="AB30" s="19"/>
      <c r="AC30" s="22"/>
      <c r="AD30" s="19"/>
      <c r="AE30" s="22"/>
      <c r="AF30" s="19"/>
      <c r="AG30" s="22"/>
      <c r="AH30" s="19"/>
      <c r="AI30" s="22"/>
      <c r="AJ30" s="19"/>
      <c r="AK30" s="22"/>
      <c r="AL30" s="19"/>
      <c r="AM30" s="22"/>
      <c r="AN30" s="301">
        <v>79410</v>
      </c>
      <c r="AO30" s="305">
        <v>340661</v>
      </c>
      <c r="AP30" s="25"/>
      <c r="AQ30" s="26"/>
      <c r="AR30" s="27"/>
      <c r="AS30" s="28"/>
      <c r="AT30" s="19"/>
      <c r="AU30" s="22"/>
      <c r="AV30" s="13">
        <f t="shared" si="8"/>
        <v>79410</v>
      </c>
      <c r="AW30" s="330">
        <f t="shared" si="9"/>
        <v>340661</v>
      </c>
      <c r="AX30" s="27"/>
      <c r="AY30" s="28"/>
      <c r="AZ30" s="13">
        <f t="shared" si="10"/>
        <v>79410</v>
      </c>
      <c r="BA30" s="330">
        <f t="shared" si="11"/>
        <v>340661</v>
      </c>
    </row>
    <row r="31" spans="1:53" x14ac:dyDescent="0.3">
      <c r="A31" s="296" t="s">
        <v>136</v>
      </c>
      <c r="B31" s="231">
        <v>457519</v>
      </c>
      <c r="C31" s="332">
        <v>1668317</v>
      </c>
      <c r="D31" s="19">
        <v>-504814</v>
      </c>
      <c r="E31" s="22">
        <v>-1070254</v>
      </c>
      <c r="F31" s="19">
        <v>26539</v>
      </c>
      <c r="G31" s="22">
        <v>-520208</v>
      </c>
      <c r="H31" s="19"/>
      <c r="I31" s="22"/>
      <c r="J31" s="21">
        <v>104546</v>
      </c>
      <c r="K31" s="336">
        <v>-727272</v>
      </c>
      <c r="L31" s="21">
        <f>L27</f>
        <v>1274235</v>
      </c>
      <c r="M31" s="19">
        <f>M27</f>
        <v>1678448</v>
      </c>
      <c r="N31" s="19">
        <v>317338</v>
      </c>
      <c r="O31" s="22">
        <v>1058878</v>
      </c>
      <c r="P31" s="19">
        <v>-970433</v>
      </c>
      <c r="Q31" s="22">
        <v>-2326957</v>
      </c>
      <c r="R31" s="19">
        <v>744244</v>
      </c>
      <c r="S31" s="22">
        <v>602330</v>
      </c>
      <c r="T31" s="19">
        <f>T27</f>
        <v>41750</v>
      </c>
      <c r="U31" s="22">
        <f>U27</f>
        <v>-1433515</v>
      </c>
      <c r="V31" s="19">
        <v>3468431</v>
      </c>
      <c r="W31" s="22">
        <v>11090034</v>
      </c>
      <c r="X31" s="19">
        <v>3402627</v>
      </c>
      <c r="Y31" s="22">
        <v>16191653</v>
      </c>
      <c r="Z31" s="23">
        <v>718730</v>
      </c>
      <c r="AA31" s="24">
        <v>1009425</v>
      </c>
      <c r="AB31" s="19">
        <v>484271</v>
      </c>
      <c r="AC31" s="22">
        <v>512068</v>
      </c>
      <c r="AD31" s="19">
        <v>3180768</v>
      </c>
      <c r="AE31" s="22">
        <v>4134104</v>
      </c>
      <c r="AF31" s="19">
        <v>2022190</v>
      </c>
      <c r="AG31" s="22">
        <v>5276287</v>
      </c>
      <c r="AH31" s="19">
        <v>296256</v>
      </c>
      <c r="AI31" s="22">
        <v>1416924</v>
      </c>
      <c r="AJ31" s="19">
        <v>340125</v>
      </c>
      <c r="AK31" s="22">
        <v>5314</v>
      </c>
      <c r="AL31" s="19"/>
      <c r="AM31" s="22"/>
      <c r="AN31" s="301">
        <v>3812050</v>
      </c>
      <c r="AO31" s="305">
        <v>11844583</v>
      </c>
      <c r="AP31" s="25">
        <v>16563</v>
      </c>
      <c r="AQ31" s="26">
        <v>52862</v>
      </c>
      <c r="AR31" s="232">
        <v>617050</v>
      </c>
      <c r="AS31" s="311">
        <v>758945</v>
      </c>
      <c r="AT31" s="19">
        <v>1157439</v>
      </c>
      <c r="AU31" s="22">
        <v>1698795</v>
      </c>
      <c r="AV31" s="13">
        <f t="shared" si="8"/>
        <v>21007424</v>
      </c>
      <c r="AW31" s="330">
        <f t="shared" si="9"/>
        <v>52920761</v>
      </c>
      <c r="AX31" s="27">
        <v>24255919</v>
      </c>
      <c r="AY31" s="28">
        <v>24464054</v>
      </c>
      <c r="AZ31" s="13">
        <f t="shared" si="10"/>
        <v>45263343</v>
      </c>
      <c r="BA31" s="330">
        <f t="shared" si="11"/>
        <v>77384815</v>
      </c>
    </row>
    <row r="32" spans="1:53" x14ac:dyDescent="0.3">
      <c r="A32" s="297" t="s">
        <v>137</v>
      </c>
      <c r="B32" s="12"/>
      <c r="C32" s="331"/>
      <c r="D32" s="31"/>
      <c r="E32" s="33"/>
      <c r="F32" s="31"/>
      <c r="G32" s="33"/>
      <c r="H32" s="31"/>
      <c r="I32" s="33"/>
      <c r="J32" s="31"/>
      <c r="K32" s="33"/>
      <c r="L32" s="31"/>
      <c r="M32" s="33"/>
      <c r="N32" s="31"/>
      <c r="O32" s="33"/>
      <c r="P32" s="314"/>
      <c r="Q32" s="33"/>
      <c r="R32" s="31"/>
      <c r="S32" s="33"/>
      <c r="T32" s="31"/>
      <c r="U32" s="33"/>
      <c r="V32" s="31"/>
      <c r="W32" s="33"/>
      <c r="X32" s="31"/>
      <c r="Y32" s="33"/>
      <c r="Z32" s="23"/>
      <c r="AA32" s="24"/>
      <c r="AB32" s="31"/>
      <c r="AC32" s="33"/>
      <c r="AD32" s="34"/>
      <c r="AE32" s="35"/>
      <c r="AF32" s="31"/>
      <c r="AG32" s="33"/>
      <c r="AH32" s="31"/>
      <c r="AI32" s="33"/>
      <c r="AJ32" s="31"/>
      <c r="AK32" s="33"/>
      <c r="AL32" s="19"/>
      <c r="AM32" s="22"/>
      <c r="AN32" s="300"/>
      <c r="AO32" s="304"/>
      <c r="AP32" s="25"/>
      <c r="AQ32" s="26"/>
      <c r="AR32" s="27"/>
      <c r="AS32" s="28"/>
      <c r="AT32" s="31"/>
      <c r="AU32" s="33"/>
      <c r="AV32" s="13">
        <f t="shared" si="8"/>
        <v>0</v>
      </c>
      <c r="AW32" s="330">
        <f t="shared" si="9"/>
        <v>0</v>
      </c>
      <c r="AX32" s="31"/>
      <c r="AY32" s="33"/>
      <c r="AZ32" s="13">
        <f t="shared" si="10"/>
        <v>0</v>
      </c>
      <c r="BA32" s="330">
        <f t="shared" si="11"/>
        <v>0</v>
      </c>
    </row>
    <row r="33" spans="1:53" ht="28.5" x14ac:dyDescent="0.3">
      <c r="A33" s="296" t="s">
        <v>138</v>
      </c>
      <c r="B33" s="231">
        <v>-2843336</v>
      </c>
      <c r="C33" s="332">
        <v>-4054134</v>
      </c>
      <c r="D33" s="19">
        <v>-4079263</v>
      </c>
      <c r="E33" s="22">
        <v>-3513823</v>
      </c>
      <c r="F33" s="19">
        <v>-12985243</v>
      </c>
      <c r="G33" s="22">
        <v>-12985243</v>
      </c>
      <c r="H33" s="19">
        <v>1711634</v>
      </c>
      <c r="I33" s="22">
        <v>72485663</v>
      </c>
      <c r="J33" s="19">
        <v>-24634204</v>
      </c>
      <c r="K33" s="22">
        <v>-23802386</v>
      </c>
      <c r="L33" s="19">
        <v>-2871993</v>
      </c>
      <c r="M33" s="22">
        <v>-3276206</v>
      </c>
      <c r="N33" s="19"/>
      <c r="O33" s="22">
        <v>-3539405</v>
      </c>
      <c r="P33" s="31">
        <v>-7404732</v>
      </c>
      <c r="Q33" s="22">
        <v>-6048207</v>
      </c>
      <c r="R33" s="19">
        <v>-8152573</v>
      </c>
      <c r="S33" s="22">
        <v>-8010659</v>
      </c>
      <c r="T33" s="19">
        <v>-14724372</v>
      </c>
      <c r="U33" s="22">
        <v>-13249107</v>
      </c>
      <c r="V33" s="19">
        <v>20468095</v>
      </c>
      <c r="W33" s="22">
        <v>16134918</v>
      </c>
      <c r="X33" s="19">
        <v>13530988</v>
      </c>
      <c r="Y33" s="22">
        <v>12662916</v>
      </c>
      <c r="Z33" s="27">
        <v>-920240</v>
      </c>
      <c r="AA33" s="28">
        <v>-1210935</v>
      </c>
      <c r="AB33" s="19">
        <v>-2018643</v>
      </c>
      <c r="AC33" s="22">
        <v>-2046440</v>
      </c>
      <c r="AD33" s="19"/>
      <c r="AE33" s="22">
        <v>12623899</v>
      </c>
      <c r="AF33" s="19"/>
      <c r="AG33" s="22">
        <v>4927471</v>
      </c>
      <c r="AH33" s="19">
        <v>-9672731</v>
      </c>
      <c r="AI33" s="22">
        <v>2209952</v>
      </c>
      <c r="AJ33" s="19">
        <v>-2918852</v>
      </c>
      <c r="AK33" s="22">
        <v>-2584041</v>
      </c>
      <c r="AL33" s="19"/>
      <c r="AM33" s="22"/>
      <c r="AN33" s="301">
        <v>52339681</v>
      </c>
      <c r="AO33" s="305">
        <v>44647810</v>
      </c>
      <c r="AP33" s="25">
        <v>3580428</v>
      </c>
      <c r="AQ33" s="26">
        <v>3424344</v>
      </c>
      <c r="AR33" s="27">
        <v>-843686</v>
      </c>
      <c r="AS33" s="28">
        <v>-985581</v>
      </c>
      <c r="AT33" s="19">
        <v>-584099</v>
      </c>
      <c r="AU33" s="22">
        <v>-1125455</v>
      </c>
      <c r="AV33" s="13">
        <f t="shared" si="8"/>
        <v>-3023141</v>
      </c>
      <c r="AW33" s="330">
        <f t="shared" si="9"/>
        <v>82685351</v>
      </c>
      <c r="AX33" s="19"/>
      <c r="AY33" s="22"/>
      <c r="AZ33" s="13">
        <f t="shared" si="10"/>
        <v>-3023141</v>
      </c>
      <c r="BA33" s="330">
        <f t="shared" si="11"/>
        <v>82685351</v>
      </c>
    </row>
    <row r="34" spans="1:53" ht="28.5" x14ac:dyDescent="0.3">
      <c r="A34" s="296" t="s">
        <v>139</v>
      </c>
      <c r="B34" s="231"/>
      <c r="C34" s="332"/>
      <c r="D34" s="19"/>
      <c r="E34" s="22"/>
      <c r="F34" s="19"/>
      <c r="G34" s="22"/>
      <c r="H34" s="19"/>
      <c r="I34" s="22"/>
      <c r="J34" s="19"/>
      <c r="K34" s="22"/>
      <c r="L34" s="19"/>
      <c r="M34" s="22"/>
      <c r="N34" s="19"/>
      <c r="O34" s="22"/>
      <c r="P34" s="19"/>
      <c r="Q34" s="22"/>
      <c r="R34" s="19"/>
      <c r="S34" s="22"/>
      <c r="T34" s="19"/>
      <c r="U34" s="22"/>
      <c r="V34" s="19"/>
      <c r="W34" s="22">
        <v>-2732204</v>
      </c>
      <c r="X34" s="19"/>
      <c r="Y34" s="22">
        <v>4880653</v>
      </c>
      <c r="Z34" s="27"/>
      <c r="AA34" s="28"/>
      <c r="AB34" s="19"/>
      <c r="AC34" s="22"/>
      <c r="AD34" s="19"/>
      <c r="AE34" s="22"/>
      <c r="AF34" s="19"/>
      <c r="AG34" s="22">
        <v>1630991</v>
      </c>
      <c r="AH34" s="19"/>
      <c r="AI34" s="22"/>
      <c r="AJ34" s="19"/>
      <c r="AK34" s="22"/>
      <c r="AL34" s="19"/>
      <c r="AM34" s="22"/>
      <c r="AN34" s="302">
        <v>2000000</v>
      </c>
      <c r="AO34" s="306">
        <v>2000000</v>
      </c>
      <c r="AP34" s="25">
        <v>166819</v>
      </c>
      <c r="AQ34" s="26">
        <v>200900</v>
      </c>
      <c r="AR34" s="27"/>
      <c r="AS34" s="28"/>
      <c r="AT34" s="19"/>
      <c r="AU34" s="22"/>
      <c r="AV34" s="13">
        <f t="shared" si="8"/>
        <v>2166819</v>
      </c>
      <c r="AW34" s="330">
        <f t="shared" si="9"/>
        <v>5980340</v>
      </c>
      <c r="AX34" s="19"/>
      <c r="AY34" s="22"/>
      <c r="AZ34" s="13">
        <f t="shared" si="10"/>
        <v>2166819</v>
      </c>
      <c r="BA34" s="330">
        <f t="shared" si="11"/>
        <v>5980340</v>
      </c>
    </row>
    <row r="35" spans="1:53" ht="28.5" x14ac:dyDescent="0.3">
      <c r="A35" s="298" t="s">
        <v>140</v>
      </c>
      <c r="B35" s="231"/>
      <c r="C35" s="332"/>
      <c r="D35" s="19"/>
      <c r="E35" s="22"/>
      <c r="F35" s="19"/>
      <c r="G35" s="22"/>
      <c r="H35" s="19"/>
      <c r="I35" s="22"/>
      <c r="J35" s="19"/>
      <c r="K35" s="22"/>
      <c r="L35" s="19"/>
      <c r="M35" s="22"/>
      <c r="N35" s="19"/>
      <c r="O35" s="22"/>
      <c r="P35" s="19"/>
      <c r="Q35" s="22"/>
      <c r="R35" s="19"/>
      <c r="S35" s="22"/>
      <c r="T35" s="19"/>
      <c r="U35" s="22"/>
      <c r="V35" s="19"/>
      <c r="W35" s="22"/>
      <c r="X35" s="19"/>
      <c r="Y35" s="22">
        <v>5023962</v>
      </c>
      <c r="Z35" s="27"/>
      <c r="AA35" s="28"/>
      <c r="AB35" s="19"/>
      <c r="AC35" s="22"/>
      <c r="AD35" s="19"/>
      <c r="AE35" s="22"/>
      <c r="AF35" s="19"/>
      <c r="AG35" s="22">
        <v>1228040</v>
      </c>
      <c r="AH35" s="19"/>
      <c r="AI35" s="22"/>
      <c r="AJ35" s="19"/>
      <c r="AK35" s="22"/>
      <c r="AL35" s="19"/>
      <c r="AM35" s="22"/>
      <c r="AN35" s="302"/>
      <c r="AO35" s="306"/>
      <c r="AP35" s="25"/>
      <c r="AQ35" s="26"/>
      <c r="AR35" s="27"/>
      <c r="AS35" s="28"/>
      <c r="AT35" s="19"/>
      <c r="AU35" s="22"/>
      <c r="AV35" s="13">
        <f t="shared" si="8"/>
        <v>0</v>
      </c>
      <c r="AW35" s="330">
        <f t="shared" si="9"/>
        <v>6252002</v>
      </c>
      <c r="AX35" s="19">
        <v>24218226</v>
      </c>
      <c r="AY35" s="22">
        <v>24218226</v>
      </c>
      <c r="AZ35" s="13">
        <f t="shared" si="10"/>
        <v>24218226</v>
      </c>
      <c r="BA35" s="330">
        <f t="shared" si="11"/>
        <v>30470228</v>
      </c>
    </row>
    <row r="36" spans="1:53" x14ac:dyDescent="0.3">
      <c r="A36" s="296" t="s">
        <v>141</v>
      </c>
      <c r="B36" s="231"/>
      <c r="C36" s="332"/>
      <c r="D36" s="19"/>
      <c r="E36" s="22"/>
      <c r="F36" s="19"/>
      <c r="G36" s="22"/>
      <c r="H36" s="19"/>
      <c r="I36" s="22"/>
      <c r="J36" s="19"/>
      <c r="K36" s="22"/>
      <c r="L36" s="19"/>
      <c r="M36" s="22"/>
      <c r="N36" s="19"/>
      <c r="O36" s="22"/>
      <c r="P36" s="19"/>
      <c r="Q36" s="22"/>
      <c r="R36" s="19"/>
      <c r="S36" s="22"/>
      <c r="T36" s="19"/>
      <c r="U36" s="22"/>
      <c r="V36" s="19"/>
      <c r="W36" s="22">
        <v>-556222</v>
      </c>
      <c r="X36" s="19"/>
      <c r="Y36" s="22">
        <v>2016339</v>
      </c>
      <c r="Z36" s="27"/>
      <c r="AA36" s="28"/>
      <c r="AB36" s="19"/>
      <c r="AC36" s="22"/>
      <c r="AD36" s="19"/>
      <c r="AE36" s="22"/>
      <c r="AF36" s="19"/>
      <c r="AG36" s="22">
        <v>582031</v>
      </c>
      <c r="AH36" s="19"/>
      <c r="AI36" s="22"/>
      <c r="AJ36" s="19"/>
      <c r="AK36" s="22"/>
      <c r="AL36" s="19"/>
      <c r="AM36" s="22"/>
      <c r="AN36" s="302">
        <v>407153</v>
      </c>
      <c r="AO36" s="306">
        <v>407153</v>
      </c>
      <c r="AP36" s="25">
        <v>33971</v>
      </c>
      <c r="AQ36" s="26">
        <v>40899</v>
      </c>
      <c r="AR36" s="27"/>
      <c r="AS36" s="28"/>
      <c r="AT36" s="19"/>
      <c r="AU36" s="22"/>
      <c r="AV36" s="13">
        <f t="shared" si="8"/>
        <v>441124</v>
      </c>
      <c r="AW36" s="330">
        <f t="shared" si="9"/>
        <v>2490200</v>
      </c>
      <c r="AX36" s="19"/>
      <c r="AY36" s="22"/>
      <c r="AZ36" s="13">
        <f t="shared" si="10"/>
        <v>441124</v>
      </c>
      <c r="BA36" s="330">
        <f t="shared" si="11"/>
        <v>2490200</v>
      </c>
    </row>
    <row r="37" spans="1:53" ht="28.5" x14ac:dyDescent="0.3">
      <c r="A37" s="296" t="s">
        <v>142</v>
      </c>
      <c r="B37" s="12"/>
      <c r="C37" s="331"/>
      <c r="D37" s="34"/>
      <c r="E37" s="35"/>
      <c r="F37" s="34"/>
      <c r="G37" s="35"/>
      <c r="H37" s="34"/>
      <c r="I37" s="35"/>
      <c r="J37" s="34"/>
      <c r="K37" s="35"/>
      <c r="L37" s="34"/>
      <c r="M37" s="35"/>
      <c r="N37" s="34"/>
      <c r="O37" s="35"/>
      <c r="P37" s="34"/>
      <c r="Q37" s="35"/>
      <c r="R37" s="34"/>
      <c r="S37" s="35"/>
      <c r="T37" s="34"/>
      <c r="U37" s="35"/>
      <c r="V37" s="34"/>
      <c r="W37" s="35"/>
      <c r="X37" s="34"/>
      <c r="Y37" s="35"/>
      <c r="Z37" s="233"/>
      <c r="AA37" s="242"/>
      <c r="AB37" s="34">
        <v>-50000</v>
      </c>
      <c r="AC37" s="35">
        <v>-50000</v>
      </c>
      <c r="AD37" s="34"/>
      <c r="AE37" s="35"/>
      <c r="AF37" s="34"/>
      <c r="AG37" s="35"/>
      <c r="AH37" s="34">
        <v>13003351</v>
      </c>
      <c r="AI37" s="35"/>
      <c r="AJ37" s="34"/>
      <c r="AK37" s="35"/>
      <c r="AL37" s="234"/>
      <c r="AM37" s="340"/>
      <c r="AN37" s="302"/>
      <c r="AO37" s="306"/>
      <c r="AP37" s="235"/>
      <c r="AQ37" s="310"/>
      <c r="AR37" s="236"/>
      <c r="AS37" s="312"/>
      <c r="AT37" s="34"/>
      <c r="AU37" s="35"/>
      <c r="AV37" s="13">
        <f t="shared" si="8"/>
        <v>12953351</v>
      </c>
      <c r="AW37" s="330">
        <f t="shared" si="9"/>
        <v>-50000</v>
      </c>
      <c r="AX37" s="34">
        <v>37693</v>
      </c>
      <c r="AY37" s="35">
        <v>245828</v>
      </c>
      <c r="AZ37" s="13">
        <f t="shared" si="10"/>
        <v>12991044</v>
      </c>
      <c r="BA37" s="330">
        <f t="shared" si="11"/>
        <v>195828</v>
      </c>
    </row>
    <row r="38" spans="1:53" ht="28.5" x14ac:dyDescent="0.3">
      <c r="A38" s="665" t="s">
        <v>253</v>
      </c>
      <c r="B38" s="667"/>
      <c r="C38" s="668"/>
      <c r="D38" s="669"/>
      <c r="E38" s="670"/>
      <c r="F38" s="669"/>
      <c r="G38" s="670"/>
      <c r="H38" s="669"/>
      <c r="I38" s="670"/>
      <c r="J38" s="669"/>
      <c r="K38" s="670"/>
      <c r="L38" s="669"/>
      <c r="M38" s="670"/>
      <c r="N38" s="669"/>
      <c r="O38" s="670"/>
      <c r="P38" s="669"/>
      <c r="Q38" s="670"/>
      <c r="R38" s="669"/>
      <c r="S38" s="670"/>
      <c r="T38" s="669"/>
      <c r="U38" s="670"/>
      <c r="V38" s="669"/>
      <c r="W38" s="670"/>
      <c r="X38" s="669"/>
      <c r="Y38" s="670"/>
      <c r="Z38" s="671"/>
      <c r="AA38" s="672"/>
      <c r="AB38" s="669"/>
      <c r="AC38" s="670"/>
      <c r="AD38" s="669"/>
      <c r="AE38" s="670"/>
      <c r="AF38" s="669"/>
      <c r="AG38" s="670"/>
      <c r="AH38" s="669"/>
      <c r="AI38" s="670"/>
      <c r="AJ38" s="669"/>
      <c r="AK38" s="670"/>
      <c r="AL38" s="673"/>
      <c r="AM38" s="674"/>
      <c r="AN38" s="675"/>
      <c r="AO38" s="676"/>
      <c r="AP38" s="677">
        <v>200</v>
      </c>
      <c r="AQ38" s="678">
        <v>3800</v>
      </c>
      <c r="AR38" s="679"/>
      <c r="AS38" s="680"/>
      <c r="AT38" s="669"/>
      <c r="AU38" s="670"/>
      <c r="AV38" s="666"/>
      <c r="AW38" s="682"/>
      <c r="AX38" s="669"/>
      <c r="AY38" s="670"/>
      <c r="AZ38" s="681"/>
      <c r="BA38" s="668"/>
    </row>
    <row r="39" spans="1:53" s="488" customFormat="1" ht="27.75" thickBot="1" x14ac:dyDescent="0.3">
      <c r="A39" s="483" t="s">
        <v>143</v>
      </c>
      <c r="B39" s="484">
        <f t="shared" ref="B39:G39" si="12">B31+B33</f>
        <v>-2385817</v>
      </c>
      <c r="C39" s="485">
        <f t="shared" si="12"/>
        <v>-2385817</v>
      </c>
      <c r="D39" s="484">
        <f t="shared" si="12"/>
        <v>-4584077</v>
      </c>
      <c r="E39" s="485">
        <f t="shared" si="12"/>
        <v>-4584077</v>
      </c>
      <c r="F39" s="484">
        <f t="shared" si="12"/>
        <v>-12958704</v>
      </c>
      <c r="G39" s="485">
        <f t="shared" si="12"/>
        <v>-13505451</v>
      </c>
      <c r="H39" s="484">
        <v>3423268</v>
      </c>
      <c r="I39" s="485">
        <v>79646820</v>
      </c>
      <c r="J39" s="484">
        <f t="shared" ref="J39:X39" si="13">J31+J33</f>
        <v>-24529658</v>
      </c>
      <c r="K39" s="485">
        <f t="shared" si="13"/>
        <v>-24529658</v>
      </c>
      <c r="L39" s="484">
        <f t="shared" si="13"/>
        <v>-1597758</v>
      </c>
      <c r="M39" s="485">
        <f t="shared" si="13"/>
        <v>-1597758</v>
      </c>
      <c r="N39" s="484">
        <f t="shared" si="13"/>
        <v>317338</v>
      </c>
      <c r="O39" s="485">
        <f t="shared" si="13"/>
        <v>-2480527</v>
      </c>
      <c r="P39" s="484">
        <f t="shared" si="13"/>
        <v>-8375165</v>
      </c>
      <c r="Q39" s="485">
        <f t="shared" si="13"/>
        <v>-8375164</v>
      </c>
      <c r="R39" s="484">
        <f t="shared" si="13"/>
        <v>-7408329</v>
      </c>
      <c r="S39" s="485">
        <f t="shared" si="13"/>
        <v>-7408329</v>
      </c>
      <c r="T39" s="484">
        <f t="shared" si="13"/>
        <v>-14682622</v>
      </c>
      <c r="U39" s="485">
        <f t="shared" si="13"/>
        <v>-14682622</v>
      </c>
      <c r="V39" s="484">
        <v>23936526</v>
      </c>
      <c r="W39" s="485">
        <v>23936526</v>
      </c>
      <c r="X39" s="484">
        <f t="shared" si="13"/>
        <v>16933615</v>
      </c>
      <c r="Y39" s="485">
        <v>16933615</v>
      </c>
      <c r="Z39" s="484">
        <f t="shared" ref="Z39:AE39" si="14">Z31+Z33</f>
        <v>-201510</v>
      </c>
      <c r="AA39" s="485">
        <f t="shared" si="14"/>
        <v>-201510</v>
      </c>
      <c r="AB39" s="484">
        <v>1584371</v>
      </c>
      <c r="AC39" s="485">
        <v>-1584371</v>
      </c>
      <c r="AD39" s="484">
        <f t="shared" si="14"/>
        <v>3180768</v>
      </c>
      <c r="AE39" s="485">
        <f t="shared" si="14"/>
        <v>16758003</v>
      </c>
      <c r="AF39" s="484"/>
      <c r="AG39" s="485">
        <v>6762696</v>
      </c>
      <c r="AH39" s="484">
        <v>3626876</v>
      </c>
      <c r="AI39" s="485">
        <f>AI31+AI33</f>
        <v>3626876</v>
      </c>
      <c r="AJ39" s="484">
        <f>AJ31+AJ33</f>
        <v>-2578727</v>
      </c>
      <c r="AK39" s="485">
        <f>AK31+AK33</f>
        <v>-2578727</v>
      </c>
      <c r="AL39" s="484">
        <f>AL31+AL33</f>
        <v>0</v>
      </c>
      <c r="AM39" s="485">
        <f>AM31+AM33</f>
        <v>0</v>
      </c>
      <c r="AN39" s="484">
        <v>53744580</v>
      </c>
      <c r="AO39" s="485">
        <v>53744580</v>
      </c>
      <c r="AP39" s="485">
        <f>AP31+AP33</f>
        <v>3596991</v>
      </c>
      <c r="AQ39" s="485">
        <f>AQ31+AQ33</f>
        <v>3477206</v>
      </c>
      <c r="AR39" s="484">
        <v>-226636</v>
      </c>
      <c r="AS39" s="485">
        <f>AS31+AS33</f>
        <v>-226636</v>
      </c>
      <c r="AT39" s="484">
        <f>AT31+AT33</f>
        <v>573340</v>
      </c>
      <c r="AU39" s="485">
        <f>AU31+AU33</f>
        <v>573340</v>
      </c>
      <c r="AV39" s="486">
        <f>SUM(B39+D39+F39+H39+J39+L39+N39+P39+R39+T39+V39+X39+Z39+AB39+AD39+AF39+AH39+AJ39+AL39+AN39+AP39+AR39+AT39)</f>
        <v>31388670</v>
      </c>
      <c r="AW39" s="487">
        <f>SUM(C39+E39+G39+I39+K39+M39+O39+Q39+S39+U39+W39+Y39+AA39+AC39+AE39+AG39+AI39+AK39+AM39+AO39+AQ39+AS39+AU39)</f>
        <v>121319015</v>
      </c>
      <c r="AX39" s="484">
        <f>AX31+AX33</f>
        <v>24255919</v>
      </c>
      <c r="AY39" s="485">
        <f>AY31+AY33</f>
        <v>24464054</v>
      </c>
      <c r="AZ39" s="484">
        <f>AZ31+AZ33</f>
        <v>42240202</v>
      </c>
      <c r="BA39" s="485">
        <f>BA31+BA33</f>
        <v>160070166</v>
      </c>
    </row>
    <row r="40" spans="1:53" s="56" customFormat="1" ht="28.5" x14ac:dyDescent="0.3">
      <c r="A40" s="341" t="s">
        <v>144</v>
      </c>
      <c r="B40" s="342">
        <v>0.27</v>
      </c>
      <c r="C40" s="343">
        <v>0.88</v>
      </c>
      <c r="D40" s="319"/>
      <c r="E40" s="320"/>
      <c r="F40" s="319"/>
      <c r="G40" s="343">
        <v>0.26</v>
      </c>
      <c r="H40" s="319"/>
      <c r="I40" s="724"/>
      <c r="J40" s="319">
        <v>0.04</v>
      </c>
      <c r="K40" s="320">
        <v>0.3</v>
      </c>
      <c r="L40" s="319"/>
      <c r="M40" s="320"/>
      <c r="N40" s="319"/>
      <c r="O40" s="320"/>
      <c r="P40" s="342">
        <v>3.54</v>
      </c>
      <c r="Q40" s="343">
        <v>8.48</v>
      </c>
      <c r="R40" s="319"/>
      <c r="S40" s="320"/>
      <c r="T40" s="319"/>
      <c r="U40" s="320"/>
      <c r="V40" s="319">
        <v>1.73</v>
      </c>
      <c r="W40" s="320">
        <v>5.53</v>
      </c>
      <c r="X40" s="319">
        <v>2.37</v>
      </c>
      <c r="Y40" s="320">
        <v>11.28</v>
      </c>
      <c r="Z40" s="344">
        <v>-0.06</v>
      </c>
      <c r="AA40" s="345">
        <v>-0.09</v>
      </c>
      <c r="AB40" s="319">
        <v>0.77</v>
      </c>
      <c r="AC40" s="320">
        <v>0.82</v>
      </c>
      <c r="AD40" s="319">
        <v>6.23</v>
      </c>
      <c r="AE40" s="320">
        <v>8.1</v>
      </c>
      <c r="AF40" s="319"/>
      <c r="AG40" s="320"/>
      <c r="AH40" s="319"/>
      <c r="AI40" s="320"/>
      <c r="AJ40" s="319"/>
      <c r="AK40" s="320"/>
      <c r="AL40" s="319"/>
      <c r="AM40" s="320"/>
      <c r="AN40" s="346">
        <v>3.81</v>
      </c>
      <c r="AO40" s="347">
        <v>11.5</v>
      </c>
      <c r="AP40" s="348"/>
      <c r="AQ40" s="349"/>
      <c r="AR40" s="350">
        <v>2.38</v>
      </c>
      <c r="AS40" s="351">
        <v>2.93</v>
      </c>
      <c r="AT40" s="319"/>
      <c r="AU40" s="320"/>
      <c r="AV40" s="318"/>
      <c r="AW40" s="352"/>
      <c r="AX40" s="319"/>
      <c r="AY40" s="320"/>
      <c r="AZ40" s="318"/>
      <c r="BA40" s="320"/>
    </row>
    <row r="41" spans="1:53" x14ac:dyDescent="0.3">
      <c r="A41" s="296" t="s">
        <v>145</v>
      </c>
      <c r="B41" s="231"/>
      <c r="C41" s="332"/>
      <c r="D41" s="19"/>
      <c r="E41" s="22"/>
      <c r="F41" s="19"/>
      <c r="G41" s="22"/>
      <c r="H41" s="19"/>
      <c r="I41" s="20"/>
      <c r="J41" s="19"/>
      <c r="K41" s="22"/>
      <c r="L41" s="19"/>
      <c r="M41" s="22"/>
      <c r="N41" s="19"/>
      <c r="O41" s="22"/>
      <c r="P41" s="19"/>
      <c r="Q41" s="22"/>
      <c r="R41" s="19"/>
      <c r="S41" s="22"/>
      <c r="T41" s="19"/>
      <c r="U41" s="22"/>
      <c r="V41" s="19"/>
      <c r="W41" s="22"/>
      <c r="X41" s="19"/>
      <c r="Y41" s="22"/>
      <c r="Z41" s="23"/>
      <c r="AA41" s="24"/>
      <c r="AB41" s="19"/>
      <c r="AC41" s="22"/>
      <c r="AD41" s="19"/>
      <c r="AE41" s="22"/>
      <c r="AF41" s="19"/>
      <c r="AG41" s="22"/>
      <c r="AH41" s="19"/>
      <c r="AI41" s="22"/>
      <c r="AJ41" s="19"/>
      <c r="AK41" s="22"/>
      <c r="AL41" s="19"/>
      <c r="AM41" s="22"/>
      <c r="AN41" s="300"/>
      <c r="AO41" s="304"/>
      <c r="AP41" s="25"/>
      <c r="AQ41" s="26"/>
      <c r="AR41" s="314"/>
      <c r="AS41" s="315"/>
      <c r="AT41" s="19"/>
      <c r="AU41" s="22"/>
      <c r="AV41" s="31"/>
      <c r="AW41" s="33"/>
      <c r="AX41" s="19"/>
      <c r="AY41" s="22"/>
      <c r="AZ41" s="31"/>
      <c r="BA41" s="22"/>
    </row>
    <row r="42" spans="1:53" x14ac:dyDescent="0.3">
      <c r="A42" s="298" t="s">
        <v>146</v>
      </c>
      <c r="B42" s="69"/>
      <c r="C42" s="333"/>
      <c r="D42" s="19"/>
      <c r="E42" s="22"/>
      <c r="F42" s="19"/>
      <c r="G42" s="3"/>
      <c r="H42" s="19"/>
      <c r="I42" s="20"/>
      <c r="J42" s="2"/>
      <c r="K42" s="3"/>
      <c r="L42" s="19"/>
      <c r="M42" s="22"/>
      <c r="N42" s="19"/>
      <c r="O42" s="22"/>
      <c r="P42" s="2"/>
      <c r="Q42" s="3"/>
      <c r="R42" s="19"/>
      <c r="S42" s="22"/>
      <c r="T42" s="19"/>
      <c r="U42" s="22"/>
      <c r="V42" s="2"/>
      <c r="W42" s="3"/>
      <c r="X42" s="2"/>
      <c r="Y42" s="22"/>
      <c r="Z42" s="239"/>
      <c r="AA42" s="337"/>
      <c r="AB42" s="2"/>
      <c r="AC42" s="3"/>
      <c r="AD42" s="2"/>
      <c r="AE42" s="3"/>
      <c r="AF42" s="19"/>
      <c r="AG42" s="22"/>
      <c r="AH42" s="19"/>
      <c r="AI42" s="22"/>
      <c r="AJ42" s="19"/>
      <c r="AK42" s="22"/>
      <c r="AL42" s="19"/>
      <c r="AM42" s="22"/>
      <c r="AN42" s="303"/>
      <c r="AO42" s="307"/>
      <c r="AP42" s="25"/>
      <c r="AQ42" s="26"/>
      <c r="AR42" s="238"/>
      <c r="AS42" s="313"/>
      <c r="AT42" s="19"/>
      <c r="AU42" s="22"/>
      <c r="AV42" s="31"/>
      <c r="AW42" s="33"/>
      <c r="AX42" s="19"/>
      <c r="AY42" s="22"/>
      <c r="AZ42" s="31"/>
      <c r="BA42" s="22"/>
    </row>
    <row r="43" spans="1:53" ht="15" thickBot="1" x14ac:dyDescent="0.35">
      <c r="A43" s="299" t="s">
        <v>147</v>
      </c>
      <c r="B43" s="334"/>
      <c r="C43" s="335"/>
      <c r="D43" s="59"/>
      <c r="E43" s="60"/>
      <c r="F43" s="59"/>
      <c r="G43" s="60"/>
      <c r="H43" s="59"/>
      <c r="I43" s="725"/>
      <c r="J43" s="59"/>
      <c r="K43" s="60"/>
      <c r="L43" s="59"/>
      <c r="M43" s="60"/>
      <c r="N43" s="59"/>
      <c r="O43" s="60"/>
      <c r="P43" s="59"/>
      <c r="Q43" s="60"/>
      <c r="R43" s="59"/>
      <c r="S43" s="60"/>
      <c r="T43" s="59"/>
      <c r="U43" s="60"/>
      <c r="V43" s="65"/>
      <c r="W43" s="66"/>
      <c r="X43" s="65"/>
      <c r="Y43" s="60"/>
      <c r="Z43" s="338"/>
      <c r="AA43" s="339"/>
      <c r="AB43" s="59"/>
      <c r="AC43" s="60"/>
      <c r="AD43" s="61"/>
      <c r="AE43" s="62"/>
      <c r="AF43" s="59"/>
      <c r="AG43" s="60"/>
      <c r="AH43" s="59"/>
      <c r="AI43" s="60"/>
      <c r="AJ43" s="59"/>
      <c r="AK43" s="60"/>
      <c r="AL43" s="243"/>
      <c r="AM43" s="244"/>
      <c r="AN43" s="308"/>
      <c r="AO43" s="309"/>
      <c r="AP43" s="63"/>
      <c r="AQ43" s="64"/>
      <c r="AR43" s="316"/>
      <c r="AS43" s="317"/>
      <c r="AT43" s="59"/>
      <c r="AU43" s="60"/>
      <c r="AV43" s="59"/>
      <c r="AW43" s="60"/>
      <c r="AX43" s="59"/>
      <c r="AY43" s="60"/>
      <c r="AZ43" s="59"/>
      <c r="BA43" s="244"/>
    </row>
  </sheetData>
  <mergeCells count="29">
    <mergeCell ref="AJ3:AK3"/>
    <mergeCell ref="AL3:AM3"/>
    <mergeCell ref="D3:E3"/>
    <mergeCell ref="F3:G3"/>
    <mergeCell ref="H3:I3"/>
    <mergeCell ref="J3:K3"/>
    <mergeCell ref="P3:Q3"/>
    <mergeCell ref="L3:M3"/>
    <mergeCell ref="V3:W3"/>
    <mergeCell ref="A1:AZ1"/>
    <mergeCell ref="A2:AZ2"/>
    <mergeCell ref="A3:A4"/>
    <mergeCell ref="N3:O3"/>
    <mergeCell ref="R3:S3"/>
    <mergeCell ref="T3:U3"/>
    <mergeCell ref="AX3:AY3"/>
    <mergeCell ref="AZ3:BA3"/>
    <mergeCell ref="AV3:AW3"/>
    <mergeCell ref="B3:C3"/>
    <mergeCell ref="X3:Y3"/>
    <mergeCell ref="Z3:AA3"/>
    <mergeCell ref="AN3:AO3"/>
    <mergeCell ref="AP3:AQ3"/>
    <mergeCell ref="AT3:AU3"/>
    <mergeCell ref="AR3:AS3"/>
    <mergeCell ref="AB3:AC3"/>
    <mergeCell ref="AD3:AE3"/>
    <mergeCell ref="AF3:AG3"/>
    <mergeCell ref="AH3:A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67"/>
  <sheetViews>
    <sheetView workbookViewId="0">
      <pane xSplit="1" topLeftCell="B1" activePane="topRight" state="frozen"/>
      <selection pane="topRight" activeCell="F9" sqref="F9"/>
    </sheetView>
    <sheetView workbookViewId="1">
      <selection sqref="A1:IV65536"/>
    </sheetView>
  </sheetViews>
  <sheetFormatPr defaultRowHeight="14.25" x14ac:dyDescent="0.3"/>
  <cols>
    <col min="1" max="1" width="64" style="450" bestFit="1" customWidth="1"/>
    <col min="2" max="2" width="14.7109375" style="450" bestFit="1" customWidth="1"/>
    <col min="3" max="3" width="10.5703125" style="450" bestFit="1" customWidth="1"/>
    <col min="4" max="4" width="13.7109375" style="450" bestFit="1" customWidth="1"/>
    <col min="5" max="6" width="13.28515625" style="450" bestFit="1" customWidth="1"/>
    <col min="7" max="7" width="19.85546875" style="450" bestFit="1" customWidth="1"/>
    <col min="8" max="8" width="14.5703125" style="450" bestFit="1" customWidth="1"/>
    <col min="9" max="9" width="13.85546875" style="450" bestFit="1" customWidth="1"/>
    <col min="10" max="10" width="11.28515625" style="450" customWidth="1"/>
    <col min="11" max="11" width="14.7109375" style="450" bestFit="1" customWidth="1"/>
    <col min="12" max="12" width="11.28515625" style="450" customWidth="1"/>
    <col min="13" max="13" width="14.7109375" style="450" bestFit="1" customWidth="1"/>
    <col min="14" max="15" width="13.28515625" style="450" bestFit="1" customWidth="1"/>
    <col min="16" max="16" width="14.140625" style="450" bestFit="1" customWidth="1"/>
    <col min="17" max="17" width="10.5703125" style="450" bestFit="1" customWidth="1"/>
    <col min="18" max="18" width="14.28515625" style="450" bestFit="1" customWidth="1"/>
    <col min="19" max="19" width="13.85546875" style="450" bestFit="1" customWidth="1"/>
    <col min="20" max="20" width="13.28515625" style="450" bestFit="1" customWidth="1"/>
    <col min="21" max="21" width="11" style="450" customWidth="1"/>
    <col min="22" max="22" width="11.5703125" style="450" bestFit="1" customWidth="1"/>
    <col min="23" max="23" width="14.7109375" style="450" bestFit="1" customWidth="1"/>
    <col min="24" max="24" width="13.28515625" style="450" bestFit="1" customWidth="1"/>
    <col min="25" max="25" width="11" style="450" bestFit="1" customWidth="1"/>
    <col min="26" max="26" width="12.7109375" style="450" bestFit="1" customWidth="1"/>
    <col min="27" max="27" width="12" style="450" bestFit="1" customWidth="1"/>
    <col min="28" max="16384" width="9.140625" style="450"/>
  </cols>
  <sheetData>
    <row r="1" spans="1:27" ht="65.25" customHeight="1" thickBot="1" x14ac:dyDescent="0.35">
      <c r="A1" s="886" t="s">
        <v>259</v>
      </c>
      <c r="B1" s="881" t="s">
        <v>155</v>
      </c>
      <c r="C1" s="882" t="s">
        <v>260</v>
      </c>
      <c r="D1" s="882" t="s">
        <v>157</v>
      </c>
      <c r="E1" s="882" t="s">
        <v>158</v>
      </c>
      <c r="F1" s="882" t="s">
        <v>261</v>
      </c>
      <c r="G1" s="882" t="s">
        <v>160</v>
      </c>
      <c r="H1" s="882" t="s">
        <v>161</v>
      </c>
      <c r="I1" s="882" t="s">
        <v>179</v>
      </c>
      <c r="J1" s="882" t="s">
        <v>262</v>
      </c>
      <c r="K1" s="882" t="s">
        <v>263</v>
      </c>
      <c r="L1" s="882" t="s">
        <v>264</v>
      </c>
      <c r="M1" s="882" t="s">
        <v>265</v>
      </c>
      <c r="N1" s="882" t="s">
        <v>183</v>
      </c>
      <c r="O1" s="882" t="s">
        <v>168</v>
      </c>
      <c r="P1" s="882" t="s">
        <v>169</v>
      </c>
      <c r="Q1" s="882" t="s">
        <v>170</v>
      </c>
      <c r="R1" s="882" t="s">
        <v>266</v>
      </c>
      <c r="S1" s="882" t="s">
        <v>172</v>
      </c>
      <c r="T1" s="882" t="s">
        <v>173</v>
      </c>
      <c r="U1" s="882" t="s">
        <v>174</v>
      </c>
      <c r="V1" s="885" t="s">
        <v>175</v>
      </c>
      <c r="W1" s="882" t="s">
        <v>267</v>
      </c>
      <c r="X1" s="882" t="s">
        <v>177</v>
      </c>
      <c r="Y1" s="884" t="s">
        <v>1</v>
      </c>
      <c r="Z1" s="882" t="s">
        <v>178</v>
      </c>
      <c r="AA1" s="883" t="s">
        <v>2</v>
      </c>
    </row>
    <row r="2" spans="1:27" s="449" customFormat="1" ht="45.75" customHeight="1" thickBot="1" x14ac:dyDescent="0.35">
      <c r="A2" s="620" t="s">
        <v>0</v>
      </c>
      <c r="B2" s="879" t="s">
        <v>323</v>
      </c>
      <c r="C2" s="879" t="s">
        <v>323</v>
      </c>
      <c r="D2" s="879" t="s">
        <v>323</v>
      </c>
      <c r="E2" s="879" t="s">
        <v>323</v>
      </c>
      <c r="F2" s="879" t="s">
        <v>323</v>
      </c>
      <c r="G2" s="879" t="s">
        <v>323</v>
      </c>
      <c r="H2" s="879" t="s">
        <v>323</v>
      </c>
      <c r="I2" s="879" t="s">
        <v>323</v>
      </c>
      <c r="J2" s="879" t="s">
        <v>323</v>
      </c>
      <c r="K2" s="879" t="s">
        <v>323</v>
      </c>
      <c r="L2" s="879" t="s">
        <v>323</v>
      </c>
      <c r="M2" s="879" t="s">
        <v>323</v>
      </c>
      <c r="N2" s="879" t="s">
        <v>323</v>
      </c>
      <c r="O2" s="879" t="s">
        <v>323</v>
      </c>
      <c r="P2" s="879" t="s">
        <v>323</v>
      </c>
      <c r="Q2" s="879" t="s">
        <v>323</v>
      </c>
      <c r="R2" s="879" t="s">
        <v>323</v>
      </c>
      <c r="S2" s="879" t="s">
        <v>323</v>
      </c>
      <c r="T2" s="879" t="s">
        <v>323</v>
      </c>
      <c r="U2" s="879" t="s">
        <v>323</v>
      </c>
      <c r="V2" s="879" t="s">
        <v>323</v>
      </c>
      <c r="W2" s="879" t="s">
        <v>323</v>
      </c>
      <c r="X2" s="879" t="s">
        <v>323</v>
      </c>
      <c r="Y2" s="879" t="s">
        <v>323</v>
      </c>
      <c r="Z2" s="879" t="s">
        <v>323</v>
      </c>
      <c r="AA2" s="879" t="s">
        <v>323</v>
      </c>
    </row>
    <row r="3" spans="1:27" x14ac:dyDescent="0.3">
      <c r="A3" s="880" t="s">
        <v>268</v>
      </c>
      <c r="B3" s="903"/>
      <c r="C3" s="903"/>
      <c r="D3" s="903"/>
      <c r="E3" s="903"/>
      <c r="F3" s="904"/>
      <c r="G3" s="903"/>
      <c r="H3" s="903"/>
      <c r="I3" s="903"/>
      <c r="J3" s="903"/>
      <c r="K3" s="903"/>
      <c r="L3" s="903"/>
      <c r="M3" s="903"/>
      <c r="N3" s="904"/>
      <c r="O3" s="903"/>
      <c r="P3" s="904"/>
      <c r="Q3" s="904"/>
      <c r="R3" s="903"/>
      <c r="S3" s="903"/>
      <c r="T3" s="904"/>
      <c r="U3" s="904"/>
      <c r="V3" s="904"/>
      <c r="W3" s="904"/>
      <c r="X3" s="904"/>
      <c r="Y3" s="904"/>
      <c r="Z3" s="904"/>
      <c r="AA3" s="905"/>
    </row>
    <row r="4" spans="1:27" x14ac:dyDescent="0.3">
      <c r="A4" s="451" t="s">
        <v>269</v>
      </c>
      <c r="B4" s="901"/>
      <c r="C4" s="901"/>
      <c r="D4" s="901"/>
      <c r="E4" s="901"/>
      <c r="F4" s="902"/>
      <c r="G4" s="901"/>
      <c r="H4" s="901"/>
      <c r="I4" s="901"/>
      <c r="J4" s="901"/>
      <c r="K4" s="901"/>
      <c r="L4" s="901"/>
      <c r="M4" s="901"/>
      <c r="N4" s="902"/>
      <c r="O4" s="901"/>
      <c r="P4" s="902"/>
      <c r="Q4" s="902"/>
      <c r="R4" s="901"/>
      <c r="S4" s="901"/>
      <c r="T4" s="902"/>
      <c r="U4" s="902"/>
      <c r="V4" s="902"/>
      <c r="W4" s="902"/>
      <c r="X4" s="902"/>
      <c r="Y4" s="902"/>
      <c r="Z4" s="902"/>
      <c r="AA4" s="906"/>
    </row>
    <row r="5" spans="1:27" x14ac:dyDescent="0.3">
      <c r="A5" s="451" t="s">
        <v>270</v>
      </c>
      <c r="B5" s="901">
        <v>19012080</v>
      </c>
      <c r="C5" s="901">
        <v>14426194</v>
      </c>
      <c r="D5" s="901">
        <v>20049000</v>
      </c>
      <c r="E5" s="901">
        <v>1507090</v>
      </c>
      <c r="F5" s="902">
        <v>24062010</v>
      </c>
      <c r="G5" s="901">
        <v>9500000</v>
      </c>
      <c r="H5" s="901">
        <v>3740619</v>
      </c>
      <c r="I5" s="901">
        <v>3126209</v>
      </c>
      <c r="J5" s="901">
        <v>17500000</v>
      </c>
      <c r="K5" s="901">
        <v>17378206</v>
      </c>
      <c r="L5" s="901">
        <v>20117400</v>
      </c>
      <c r="M5" s="901">
        <v>14354987</v>
      </c>
      <c r="N5" s="902">
        <v>8000000</v>
      </c>
      <c r="O5" s="901">
        <v>6250000</v>
      </c>
      <c r="P5" s="902">
        <v>5102902</v>
      </c>
      <c r="Q5" s="902">
        <v>19188129</v>
      </c>
      <c r="R5" s="901">
        <v>20128843</v>
      </c>
      <c r="S5" s="901">
        <v>11963235</v>
      </c>
      <c r="T5" s="902"/>
      <c r="U5" s="902">
        <v>10000000</v>
      </c>
      <c r="V5" s="902">
        <v>1750944</v>
      </c>
      <c r="W5" s="902">
        <v>2589641</v>
      </c>
      <c r="X5" s="902">
        <v>19535000</v>
      </c>
      <c r="Y5" s="902">
        <f>B5+C5+D5+E5+F5+G5+H5+I5+J5+K5+L5+M5+N5+O5+P5+Q5+R5+S5+T5+U5+V5+W5+X5</f>
        <v>269282489</v>
      </c>
      <c r="Z5" s="902">
        <v>1000000</v>
      </c>
      <c r="AA5" s="906">
        <f>Y5+Z5</f>
        <v>270282489</v>
      </c>
    </row>
    <row r="6" spans="1:27" x14ac:dyDescent="0.3">
      <c r="A6" s="451" t="s">
        <v>271</v>
      </c>
      <c r="B6" s="901"/>
      <c r="C6" s="901"/>
      <c r="D6" s="901"/>
      <c r="E6" s="901"/>
      <c r="F6" s="902"/>
      <c r="G6" s="901"/>
      <c r="H6" s="901"/>
      <c r="I6" s="901"/>
      <c r="J6" s="901"/>
      <c r="K6" s="901"/>
      <c r="L6" s="901">
        <v>8874</v>
      </c>
      <c r="M6" s="901"/>
      <c r="N6" s="902"/>
      <c r="O6" s="901"/>
      <c r="P6" s="902"/>
      <c r="Q6" s="902"/>
      <c r="R6" s="901"/>
      <c r="S6" s="901"/>
      <c r="T6" s="902"/>
      <c r="U6" s="902"/>
      <c r="V6" s="902"/>
      <c r="W6" s="902"/>
      <c r="X6" s="902"/>
      <c r="Y6" s="902">
        <f>B6+C6+D6+E6+F6+G6+H6+I6+J6+K6+L6+M6+N6+O6+P6+Q6+R6+S6+T6+U6+V6+W6+X6</f>
        <v>8874</v>
      </c>
      <c r="Z6" s="902"/>
      <c r="AA6" s="906">
        <f>Y6+Z6</f>
        <v>8874</v>
      </c>
    </row>
    <row r="7" spans="1:27" x14ac:dyDescent="0.3">
      <c r="A7" s="451" t="s">
        <v>272</v>
      </c>
      <c r="B7" s="901">
        <v>2682948</v>
      </c>
      <c r="C7" s="901">
        <v>4837305</v>
      </c>
      <c r="D7" s="901"/>
      <c r="E7" s="901">
        <v>90566318</v>
      </c>
      <c r="F7" s="902">
        <v>2074442</v>
      </c>
      <c r="G7" s="901">
        <v>1250000</v>
      </c>
      <c r="H7" s="901">
        <v>8329217</v>
      </c>
      <c r="I7" s="901">
        <v>16848478</v>
      </c>
      <c r="J7" s="901"/>
      <c r="K7" s="901"/>
      <c r="L7" s="901">
        <v>27064024</v>
      </c>
      <c r="M7" s="901">
        <v>51408643</v>
      </c>
      <c r="N7" s="902"/>
      <c r="O7" s="901">
        <v>1350000</v>
      </c>
      <c r="P7" s="902">
        <v>17278366</v>
      </c>
      <c r="Q7" s="902">
        <v>7702393</v>
      </c>
      <c r="R7" s="901"/>
      <c r="S7" s="901">
        <v>3031592</v>
      </c>
      <c r="T7" s="902"/>
      <c r="U7" s="902">
        <v>53744580</v>
      </c>
      <c r="V7" s="902">
        <v>4058834</v>
      </c>
      <c r="W7" s="902">
        <v>2686056</v>
      </c>
      <c r="X7" s="902">
        <v>832977</v>
      </c>
      <c r="Y7" s="902">
        <f>B7+C7+D7+E7+F7+G7+H7+I7+J7+K7+L7+M7+N7+O7+P7+Q7+R7+S7+T7+U7+V7+W7+X7</f>
        <v>295746173</v>
      </c>
      <c r="Z7" s="902">
        <v>5267775</v>
      </c>
      <c r="AA7" s="906">
        <f>Y7+Z7</f>
        <v>301013948</v>
      </c>
    </row>
    <row r="8" spans="1:27" x14ac:dyDescent="0.3">
      <c r="A8" s="451" t="s">
        <v>273</v>
      </c>
      <c r="B8" s="901">
        <v>414652</v>
      </c>
      <c r="C8" s="901">
        <v>328</v>
      </c>
      <c r="D8" s="901">
        <v>-2434</v>
      </c>
      <c r="E8" s="901">
        <v>108911</v>
      </c>
      <c r="F8" s="902">
        <v>-1754</v>
      </c>
      <c r="G8" s="901">
        <v>5299</v>
      </c>
      <c r="H8" s="901">
        <v>-393954</v>
      </c>
      <c r="I8" s="901">
        <v>-44039</v>
      </c>
      <c r="J8" s="901">
        <v>516</v>
      </c>
      <c r="K8" s="901">
        <v>14541</v>
      </c>
      <c r="L8" s="901">
        <v>301565</v>
      </c>
      <c r="M8" s="901">
        <v>3080906</v>
      </c>
      <c r="N8" s="902">
        <v>-17025</v>
      </c>
      <c r="O8" s="901">
        <v>5861</v>
      </c>
      <c r="P8" s="902"/>
      <c r="Q8" s="902">
        <v>98320</v>
      </c>
      <c r="R8" s="901">
        <v>-128</v>
      </c>
      <c r="S8" s="901">
        <v>274721</v>
      </c>
      <c r="T8" s="902"/>
      <c r="U8" s="902">
        <v>1533599</v>
      </c>
      <c r="V8" s="902">
        <v>67450</v>
      </c>
      <c r="W8" s="902">
        <v>-14512</v>
      </c>
      <c r="X8" s="902">
        <v>140870</v>
      </c>
      <c r="Y8" s="902">
        <f>B8+C8+D8+E8+F8+G8+H8+I8+J8+K8+L8+M8+N8+O8+P8+Q8+R8+S8+T8+U8+V8+W8+X8</f>
        <v>5573693</v>
      </c>
      <c r="Z8" s="902">
        <v>235950</v>
      </c>
      <c r="AA8" s="906">
        <f>Y8+Z8</f>
        <v>5809643</v>
      </c>
    </row>
    <row r="9" spans="1:27" x14ac:dyDescent="0.3">
      <c r="A9" s="451" t="s">
        <v>274</v>
      </c>
      <c r="B9" s="901"/>
      <c r="C9" s="901"/>
      <c r="D9" s="901"/>
      <c r="E9" s="901"/>
      <c r="F9" s="902"/>
      <c r="G9" s="901"/>
      <c r="H9" s="901"/>
      <c r="I9" s="901"/>
      <c r="J9" s="901"/>
      <c r="K9" s="901"/>
      <c r="L9" s="901"/>
      <c r="M9" s="901"/>
      <c r="N9" s="902"/>
      <c r="O9" s="901"/>
      <c r="P9" s="902"/>
      <c r="Q9" s="902"/>
      <c r="R9" s="901"/>
      <c r="S9" s="901"/>
      <c r="T9" s="902"/>
      <c r="U9" s="902"/>
      <c r="V9" s="902"/>
      <c r="W9" s="902"/>
      <c r="X9" s="902"/>
      <c r="Y9" s="902"/>
      <c r="Z9" s="902"/>
      <c r="AA9" s="906"/>
    </row>
    <row r="10" spans="1:27" s="913" customFormat="1" ht="13.5" x14ac:dyDescent="0.25">
      <c r="A10" s="910" t="s">
        <v>275</v>
      </c>
      <c r="B10" s="911">
        <f>B5+B7+B8</f>
        <v>22109680</v>
      </c>
      <c r="C10" s="911">
        <v>19263827</v>
      </c>
      <c r="D10" s="911">
        <f>D5+D8</f>
        <v>20046566</v>
      </c>
      <c r="E10" s="911">
        <f>SUM(E5:E9)</f>
        <v>92182319</v>
      </c>
      <c r="F10" s="911">
        <f t="shared" ref="F10:L10" si="0">SUM(F5:F9)</f>
        <v>26134698</v>
      </c>
      <c r="G10" s="911">
        <f t="shared" si="0"/>
        <v>10755299</v>
      </c>
      <c r="H10" s="911">
        <f t="shared" si="0"/>
        <v>11675882</v>
      </c>
      <c r="I10" s="911">
        <f t="shared" si="0"/>
        <v>19930648</v>
      </c>
      <c r="J10" s="911">
        <f t="shared" si="0"/>
        <v>17500516</v>
      </c>
      <c r="K10" s="911">
        <f t="shared" si="0"/>
        <v>17392747</v>
      </c>
      <c r="L10" s="911">
        <f t="shared" si="0"/>
        <v>47491863</v>
      </c>
      <c r="M10" s="911">
        <f t="shared" ref="M10:X10" si="1">SUM(M5:M9)</f>
        <v>68844536</v>
      </c>
      <c r="N10" s="911">
        <f t="shared" si="1"/>
        <v>7982975</v>
      </c>
      <c r="O10" s="911">
        <f t="shared" si="1"/>
        <v>7605861</v>
      </c>
      <c r="P10" s="911">
        <f t="shared" si="1"/>
        <v>22381268</v>
      </c>
      <c r="Q10" s="911">
        <f t="shared" si="1"/>
        <v>26988842</v>
      </c>
      <c r="R10" s="911">
        <f t="shared" si="1"/>
        <v>20128715</v>
      </c>
      <c r="S10" s="911">
        <f t="shared" si="1"/>
        <v>15269548</v>
      </c>
      <c r="T10" s="911">
        <f t="shared" si="1"/>
        <v>0</v>
      </c>
      <c r="U10" s="911">
        <f t="shared" si="1"/>
        <v>65278179</v>
      </c>
      <c r="V10" s="911">
        <f t="shared" si="1"/>
        <v>5877228</v>
      </c>
      <c r="W10" s="911">
        <f t="shared" si="1"/>
        <v>5261185</v>
      </c>
      <c r="X10" s="911">
        <f t="shared" si="1"/>
        <v>20508847</v>
      </c>
      <c r="Y10" s="912">
        <f t="shared" ref="Y10:Y41" si="2">B10+C10+D10+E10+F10+G10+H10+I10+J10+K10+L10+M10+N10+O10+P10+Q10+R10+S10+T10+U10+V10+W10+X10</f>
        <v>570611229</v>
      </c>
      <c r="Z10" s="912">
        <f>SUM(Z5:Z9)</f>
        <v>6503725</v>
      </c>
      <c r="AA10" s="910">
        <f t="shared" ref="AA10:AA41" si="3">Y10+Z10</f>
        <v>577114954</v>
      </c>
    </row>
    <row r="11" spans="1:27" x14ac:dyDescent="0.3">
      <c r="A11" s="451" t="s">
        <v>276</v>
      </c>
      <c r="B11" s="901"/>
      <c r="C11" s="901">
        <v>700000</v>
      </c>
      <c r="D11" s="901"/>
      <c r="E11" s="901"/>
      <c r="F11" s="902">
        <v>600000</v>
      </c>
      <c r="G11" s="901"/>
      <c r="H11" s="901"/>
      <c r="I11" s="901"/>
      <c r="J11" s="901"/>
      <c r="K11" s="901"/>
      <c r="L11" s="901"/>
      <c r="M11" s="901"/>
      <c r="N11" s="902"/>
      <c r="O11" s="901">
        <v>1000000</v>
      </c>
      <c r="P11" s="902"/>
      <c r="Q11" s="902"/>
      <c r="R11" s="901">
        <v>105203</v>
      </c>
      <c r="S11" s="901"/>
      <c r="T11" s="902"/>
      <c r="U11" s="902"/>
      <c r="V11" s="902"/>
      <c r="W11" s="902"/>
      <c r="X11" s="902"/>
      <c r="Y11" s="902">
        <f t="shared" si="2"/>
        <v>2405203</v>
      </c>
      <c r="Z11" s="902"/>
      <c r="AA11" s="906">
        <f t="shared" si="3"/>
        <v>2405203</v>
      </c>
    </row>
    <row r="12" spans="1:27" x14ac:dyDescent="0.3">
      <c r="A12" s="329" t="s">
        <v>277</v>
      </c>
      <c r="B12" s="901"/>
      <c r="C12" s="901"/>
      <c r="D12" s="901"/>
      <c r="E12" s="901"/>
      <c r="F12" s="902"/>
      <c r="G12" s="901"/>
      <c r="H12" s="901"/>
      <c r="I12" s="901"/>
      <c r="J12" s="901"/>
      <c r="K12" s="901"/>
      <c r="L12" s="901"/>
      <c r="M12" s="901"/>
      <c r="N12" s="902"/>
      <c r="O12" s="901"/>
      <c r="P12" s="902"/>
      <c r="Q12" s="902"/>
      <c r="R12" s="901"/>
      <c r="S12" s="901"/>
      <c r="T12" s="902"/>
      <c r="U12" s="902"/>
      <c r="V12" s="902"/>
      <c r="W12" s="902"/>
      <c r="X12" s="902"/>
      <c r="Y12" s="902">
        <f t="shared" si="2"/>
        <v>0</v>
      </c>
      <c r="Z12" s="902"/>
      <c r="AA12" s="906">
        <f t="shared" si="3"/>
        <v>0</v>
      </c>
    </row>
    <row r="13" spans="1:27" x14ac:dyDescent="0.3">
      <c r="A13" s="451" t="s">
        <v>273</v>
      </c>
      <c r="B13" s="901">
        <v>516242</v>
      </c>
      <c r="C13" s="901">
        <v>6203</v>
      </c>
      <c r="D13" s="901">
        <v>-23392</v>
      </c>
      <c r="E13" s="901">
        <v>7926308</v>
      </c>
      <c r="F13" s="902">
        <v>14258</v>
      </c>
      <c r="G13" s="901">
        <v>9641</v>
      </c>
      <c r="H13" s="901">
        <v>16157</v>
      </c>
      <c r="I13" s="901">
        <v>3671</v>
      </c>
      <c r="J13" s="901"/>
      <c r="K13" s="901">
        <v>32728</v>
      </c>
      <c r="L13" s="901">
        <v>6220204</v>
      </c>
      <c r="M13" s="901">
        <v>20550637</v>
      </c>
      <c r="N13" s="902">
        <v>-98670</v>
      </c>
      <c r="O13" s="901">
        <v>28090</v>
      </c>
      <c r="P13" s="902">
        <v>2990488</v>
      </c>
      <c r="Q13" s="902">
        <v>3452993</v>
      </c>
      <c r="R13" s="901">
        <v>37805</v>
      </c>
      <c r="S13" s="901">
        <v>1558091</v>
      </c>
      <c r="T13" s="902"/>
      <c r="U13" s="902">
        <v>9427135</v>
      </c>
      <c r="V13" s="902">
        <v>395479</v>
      </c>
      <c r="W13" s="902">
        <v>-90904</v>
      </c>
      <c r="X13" s="902">
        <v>5162794</v>
      </c>
      <c r="Y13" s="902">
        <f t="shared" si="2"/>
        <v>58135958</v>
      </c>
      <c r="Z13" s="902">
        <v>1967334934</v>
      </c>
      <c r="AA13" s="906">
        <f t="shared" si="3"/>
        <v>2025470892</v>
      </c>
    </row>
    <row r="14" spans="1:27" x14ac:dyDescent="0.3">
      <c r="A14" s="451" t="s">
        <v>278</v>
      </c>
      <c r="B14" s="901"/>
      <c r="C14" s="901"/>
      <c r="D14" s="901"/>
      <c r="E14" s="901"/>
      <c r="F14" s="902"/>
      <c r="G14" s="901"/>
      <c r="H14" s="901"/>
      <c r="I14" s="901"/>
      <c r="J14" s="901"/>
      <c r="K14" s="901"/>
      <c r="L14" s="901"/>
      <c r="M14" s="901">
        <v>614479</v>
      </c>
      <c r="N14" s="902"/>
      <c r="O14" s="901"/>
      <c r="P14" s="902">
        <v>343721</v>
      </c>
      <c r="Q14" s="902">
        <v>1111</v>
      </c>
      <c r="R14" s="901"/>
      <c r="S14" s="901"/>
      <c r="T14" s="902"/>
      <c r="U14" s="902"/>
      <c r="V14" s="902"/>
      <c r="W14" s="902"/>
      <c r="X14" s="902"/>
      <c r="Y14" s="902">
        <f t="shared" si="2"/>
        <v>959311</v>
      </c>
      <c r="Z14" s="902"/>
      <c r="AA14" s="906">
        <f t="shared" si="3"/>
        <v>959311</v>
      </c>
    </row>
    <row r="15" spans="1:27" x14ac:dyDescent="0.3">
      <c r="A15" s="451" t="s">
        <v>279</v>
      </c>
      <c r="B15" s="901">
        <v>109702120</v>
      </c>
      <c r="C15" s="901">
        <v>10280672</v>
      </c>
      <c r="D15" s="901"/>
      <c r="E15" s="901"/>
      <c r="F15" s="902">
        <v>31929669</v>
      </c>
      <c r="G15" s="901"/>
      <c r="H15" s="901"/>
      <c r="I15" s="901"/>
      <c r="J15" s="901"/>
      <c r="K15" s="901"/>
      <c r="L15" s="901"/>
      <c r="M15" s="901"/>
      <c r="N15" s="902"/>
      <c r="O15" s="901"/>
      <c r="P15" s="902"/>
      <c r="Q15" s="902"/>
      <c r="R15" s="901">
        <v>99172409</v>
      </c>
      <c r="S15" s="901"/>
      <c r="T15" s="902"/>
      <c r="U15" s="902"/>
      <c r="V15" s="902"/>
      <c r="W15" s="902"/>
      <c r="X15" s="902"/>
      <c r="Y15" s="902">
        <f t="shared" si="2"/>
        <v>251084870</v>
      </c>
      <c r="Z15" s="902"/>
      <c r="AA15" s="906">
        <f t="shared" si="3"/>
        <v>251084870</v>
      </c>
    </row>
    <row r="16" spans="1:27" x14ac:dyDescent="0.3">
      <c r="A16" s="451" t="s">
        <v>280</v>
      </c>
      <c r="B16" s="901"/>
      <c r="C16" s="901"/>
      <c r="D16" s="901"/>
      <c r="E16" s="901"/>
      <c r="F16" s="902"/>
      <c r="G16" s="901"/>
      <c r="H16" s="901"/>
      <c r="I16" s="901"/>
      <c r="J16" s="901"/>
      <c r="K16" s="901"/>
      <c r="L16" s="901"/>
      <c r="M16" s="901"/>
      <c r="N16" s="902"/>
      <c r="O16" s="901"/>
      <c r="P16" s="902"/>
      <c r="Q16" s="902"/>
      <c r="R16" s="901"/>
      <c r="S16" s="901"/>
      <c r="T16" s="902"/>
      <c r="U16" s="902"/>
      <c r="V16" s="902"/>
      <c r="W16" s="902"/>
      <c r="X16" s="902"/>
      <c r="Y16" s="902">
        <f t="shared" si="2"/>
        <v>0</v>
      </c>
      <c r="Z16" s="902"/>
      <c r="AA16" s="906">
        <f t="shared" si="3"/>
        <v>0</v>
      </c>
    </row>
    <row r="17" spans="1:27" x14ac:dyDescent="0.3">
      <c r="A17" s="329" t="s">
        <v>279</v>
      </c>
      <c r="B17" s="901"/>
      <c r="C17" s="901"/>
      <c r="D17" s="901"/>
      <c r="E17" s="901"/>
      <c r="F17" s="902"/>
      <c r="G17" s="901">
        <v>35806646</v>
      </c>
      <c r="H17" s="901">
        <v>24058987</v>
      </c>
      <c r="I17" s="901">
        <v>10281540</v>
      </c>
      <c r="J17" s="901">
        <f>56811754+19741970+475642+8610913+8450124</f>
        <v>94090403</v>
      </c>
      <c r="K17" s="901">
        <v>24512562</v>
      </c>
      <c r="L17" s="901">
        <v>423192719</v>
      </c>
      <c r="M17" s="901">
        <v>1284945569</v>
      </c>
      <c r="N17" s="902">
        <v>44957840</v>
      </c>
      <c r="O17" s="901">
        <v>81336234</v>
      </c>
      <c r="P17" s="902">
        <v>95410201</v>
      </c>
      <c r="Q17" s="902">
        <v>310137406</v>
      </c>
      <c r="R17" s="901"/>
      <c r="S17" s="901">
        <v>105272376</v>
      </c>
      <c r="T17" s="902"/>
      <c r="U17" s="902">
        <v>555558990</v>
      </c>
      <c r="V17" s="902">
        <v>24638619</v>
      </c>
      <c r="W17" s="902">
        <v>39818462</v>
      </c>
      <c r="X17" s="902">
        <v>126378977</v>
      </c>
      <c r="Y17" s="902">
        <f t="shared" si="2"/>
        <v>3280397531</v>
      </c>
      <c r="Z17" s="902">
        <v>25335645770</v>
      </c>
      <c r="AA17" s="906">
        <f t="shared" si="3"/>
        <v>28616043301</v>
      </c>
    </row>
    <row r="18" spans="1:27" x14ac:dyDescent="0.3">
      <c r="A18" s="451" t="s">
        <v>233</v>
      </c>
      <c r="B18" s="901"/>
      <c r="C18" s="901"/>
      <c r="D18" s="901">
        <f>333714+11742+11</f>
        <v>345467</v>
      </c>
      <c r="E18" s="901"/>
      <c r="F18" s="902"/>
      <c r="G18" s="901"/>
      <c r="H18" s="901"/>
      <c r="I18" s="901"/>
      <c r="J18" s="901"/>
      <c r="K18" s="901"/>
      <c r="L18" s="901"/>
      <c r="M18" s="901"/>
      <c r="N18" s="902"/>
      <c r="O18" s="901"/>
      <c r="P18" s="902"/>
      <c r="Q18" s="902"/>
      <c r="R18" s="901"/>
      <c r="S18" s="901"/>
      <c r="T18" s="902"/>
      <c r="U18" s="902"/>
      <c r="V18" s="902"/>
      <c r="W18" s="902"/>
      <c r="X18" s="902"/>
      <c r="Y18" s="902">
        <f t="shared" si="2"/>
        <v>345467</v>
      </c>
      <c r="Z18" s="902"/>
      <c r="AA18" s="906">
        <f t="shared" si="3"/>
        <v>345467</v>
      </c>
    </row>
    <row r="19" spans="1:27" x14ac:dyDescent="0.3">
      <c r="A19" s="451" t="s">
        <v>281</v>
      </c>
      <c r="B19" s="901"/>
      <c r="C19" s="901"/>
      <c r="D19" s="901">
        <f>14013+38982442+1540050+745871+540731+340003+192065+80760</f>
        <v>42435935</v>
      </c>
      <c r="E19" s="901"/>
      <c r="F19" s="902"/>
      <c r="G19" s="901"/>
      <c r="H19" s="901"/>
      <c r="I19" s="901"/>
      <c r="J19" s="901"/>
      <c r="K19" s="901"/>
      <c r="L19" s="901"/>
      <c r="M19" s="901"/>
      <c r="N19" s="902"/>
      <c r="O19" s="901"/>
      <c r="P19" s="902"/>
      <c r="Q19" s="902"/>
      <c r="R19" s="901"/>
      <c r="S19" s="901"/>
      <c r="T19" s="902"/>
      <c r="U19" s="902"/>
      <c r="V19" s="902"/>
      <c r="W19" s="902"/>
      <c r="X19" s="902"/>
      <c r="Y19" s="902">
        <f t="shared" si="2"/>
        <v>42435935</v>
      </c>
      <c r="Z19" s="902"/>
      <c r="AA19" s="906">
        <f t="shared" si="3"/>
        <v>42435935</v>
      </c>
    </row>
    <row r="20" spans="1:27" x14ac:dyDescent="0.3">
      <c r="A20" s="329" t="s">
        <v>282</v>
      </c>
      <c r="B20" s="901"/>
      <c r="C20" s="901"/>
      <c r="D20" s="901"/>
      <c r="E20" s="901"/>
      <c r="F20" s="902"/>
      <c r="G20" s="901"/>
      <c r="H20" s="901"/>
      <c r="I20" s="901"/>
      <c r="J20" s="901"/>
      <c r="K20" s="901"/>
      <c r="L20" s="901"/>
      <c r="M20" s="901"/>
      <c r="N20" s="902"/>
      <c r="O20" s="901"/>
      <c r="P20" s="902"/>
      <c r="Q20" s="902"/>
      <c r="R20" s="901"/>
      <c r="S20" s="901"/>
      <c r="T20" s="902"/>
      <c r="U20" s="902"/>
      <c r="V20" s="902"/>
      <c r="W20" s="902"/>
      <c r="X20" s="902"/>
      <c r="Y20" s="902">
        <f t="shared" si="2"/>
        <v>0</v>
      </c>
      <c r="Z20" s="902">
        <v>96979729</v>
      </c>
      <c r="AA20" s="906">
        <f t="shared" si="3"/>
        <v>96979729</v>
      </c>
    </row>
    <row r="21" spans="1:27" x14ac:dyDescent="0.3">
      <c r="A21" s="451" t="s">
        <v>283</v>
      </c>
      <c r="B21" s="901"/>
      <c r="C21" s="901">
        <v>8513725</v>
      </c>
      <c r="D21" s="901"/>
      <c r="E21" s="901"/>
      <c r="F21" s="902"/>
      <c r="G21" s="901"/>
      <c r="H21" s="901"/>
      <c r="I21" s="901"/>
      <c r="J21" s="901"/>
      <c r="K21" s="901"/>
      <c r="L21" s="901"/>
      <c r="M21" s="901"/>
      <c r="N21" s="902"/>
      <c r="O21" s="901"/>
      <c r="P21" s="902"/>
      <c r="Q21" s="902"/>
      <c r="R21" s="901"/>
      <c r="S21" s="901"/>
      <c r="T21" s="902"/>
      <c r="U21" s="902"/>
      <c r="V21" s="902"/>
      <c r="W21" s="902"/>
      <c r="X21" s="902"/>
      <c r="Y21" s="902">
        <f t="shared" si="2"/>
        <v>8513725</v>
      </c>
      <c r="Z21" s="902"/>
      <c r="AA21" s="906">
        <f t="shared" si="3"/>
        <v>8513725</v>
      </c>
    </row>
    <row r="22" spans="1:27" x14ac:dyDescent="0.3">
      <c r="A22" s="451" t="s">
        <v>284</v>
      </c>
      <c r="B22" s="901"/>
      <c r="C22" s="901">
        <v>-403358</v>
      </c>
      <c r="D22" s="901"/>
      <c r="E22" s="901"/>
      <c r="F22" s="902"/>
      <c r="G22" s="901"/>
      <c r="H22" s="901"/>
      <c r="I22" s="901"/>
      <c r="J22" s="901"/>
      <c r="K22" s="901"/>
      <c r="L22" s="901"/>
      <c r="M22" s="901"/>
      <c r="N22" s="902"/>
      <c r="O22" s="901"/>
      <c r="P22" s="902"/>
      <c r="Q22" s="902"/>
      <c r="R22" s="901"/>
      <c r="S22" s="901"/>
      <c r="T22" s="902"/>
      <c r="U22" s="902"/>
      <c r="V22" s="902"/>
      <c r="W22" s="902"/>
      <c r="X22" s="902"/>
      <c r="Y22" s="902">
        <f t="shared" si="2"/>
        <v>-403358</v>
      </c>
      <c r="Z22" s="902"/>
      <c r="AA22" s="906">
        <f t="shared" si="3"/>
        <v>-403358</v>
      </c>
    </row>
    <row r="23" spans="1:27" x14ac:dyDescent="0.3">
      <c r="A23" s="329" t="s">
        <v>285</v>
      </c>
      <c r="B23" s="901">
        <v>209001049</v>
      </c>
      <c r="C23" s="901"/>
      <c r="D23" s="901">
        <f>564371+50893+30285961+4220752+3917379</f>
        <v>39039356</v>
      </c>
      <c r="E23" s="901"/>
      <c r="F23" s="902">
        <v>10813017</v>
      </c>
      <c r="G23" s="901">
        <f>66265839+979182</f>
        <v>67245021</v>
      </c>
      <c r="H23" s="901">
        <v>2982134</v>
      </c>
      <c r="I23" s="901">
        <v>3542814</v>
      </c>
      <c r="J23" s="901">
        <v>18599982</v>
      </c>
      <c r="K23" s="901">
        <v>5547554</v>
      </c>
      <c r="L23" s="901">
        <v>465648975</v>
      </c>
      <c r="M23" s="901">
        <v>923123553</v>
      </c>
      <c r="N23" s="902">
        <v>23116951</v>
      </c>
      <c r="O23" s="901">
        <v>34849779</v>
      </c>
      <c r="P23" s="902">
        <v>124855875</v>
      </c>
      <c r="Q23" s="902">
        <v>163049923</v>
      </c>
      <c r="R23" s="901">
        <f>394028+57092706</f>
        <v>57486734</v>
      </c>
      <c r="S23" s="901">
        <v>65397580</v>
      </c>
      <c r="T23" s="902"/>
      <c r="U23" s="902">
        <v>495580829</v>
      </c>
      <c r="V23" s="902">
        <v>6087231</v>
      </c>
      <c r="W23" s="902">
        <v>19587124</v>
      </c>
      <c r="X23" s="902">
        <f>427+90597351</f>
        <v>90597778</v>
      </c>
      <c r="Y23" s="902">
        <f t="shared" si="2"/>
        <v>2826153259</v>
      </c>
      <c r="Z23" s="902">
        <v>509202727</v>
      </c>
      <c r="AA23" s="906">
        <f t="shared" si="3"/>
        <v>3335355986</v>
      </c>
    </row>
    <row r="24" spans="1:27" x14ac:dyDescent="0.3">
      <c r="A24" s="451" t="s">
        <v>286</v>
      </c>
      <c r="B24" s="901"/>
      <c r="C24" s="901"/>
      <c r="D24" s="901"/>
      <c r="E24" s="901"/>
      <c r="F24" s="902"/>
      <c r="G24" s="901">
        <v>10766407</v>
      </c>
      <c r="H24" s="901"/>
      <c r="I24" s="901">
        <v>15308</v>
      </c>
      <c r="J24" s="901">
        <v>1408144</v>
      </c>
      <c r="K24" s="901"/>
      <c r="L24" s="901">
        <v>80332932</v>
      </c>
      <c r="M24" s="901"/>
      <c r="N24" s="902"/>
      <c r="O24" s="901"/>
      <c r="P24" s="902"/>
      <c r="Q24" s="902"/>
      <c r="R24" s="901"/>
      <c r="S24" s="901"/>
      <c r="T24" s="902"/>
      <c r="U24" s="902">
        <v>31054818</v>
      </c>
      <c r="V24" s="902"/>
      <c r="W24" s="902">
        <v>3417930</v>
      </c>
      <c r="X24" s="902"/>
      <c r="Y24" s="902">
        <f t="shared" si="2"/>
        <v>126995539</v>
      </c>
      <c r="Z24" s="902"/>
      <c r="AA24" s="906">
        <f t="shared" si="3"/>
        <v>126995539</v>
      </c>
    </row>
    <row r="25" spans="1:27" x14ac:dyDescent="0.3">
      <c r="A25" s="451" t="s">
        <v>287</v>
      </c>
      <c r="B25" s="901"/>
      <c r="C25" s="901"/>
      <c r="D25" s="901"/>
      <c r="E25" s="901"/>
      <c r="F25" s="902"/>
      <c r="G25" s="901"/>
      <c r="H25" s="901"/>
      <c r="I25" s="901"/>
      <c r="J25" s="901">
        <v>111707</v>
      </c>
      <c r="K25" s="901"/>
      <c r="L25" s="901"/>
      <c r="M25" s="901"/>
      <c r="N25" s="902"/>
      <c r="O25" s="901"/>
      <c r="P25" s="902"/>
      <c r="Q25" s="902"/>
      <c r="R25" s="901"/>
      <c r="S25" s="901"/>
      <c r="T25" s="902"/>
      <c r="U25" s="902"/>
      <c r="V25" s="902"/>
      <c r="W25" s="902"/>
      <c r="X25" s="902"/>
      <c r="Y25" s="902">
        <f t="shared" si="2"/>
        <v>111707</v>
      </c>
      <c r="Z25" s="902"/>
      <c r="AA25" s="906">
        <f t="shared" si="3"/>
        <v>111707</v>
      </c>
    </row>
    <row r="26" spans="1:27" x14ac:dyDescent="0.3">
      <c r="A26" s="329" t="s">
        <v>288</v>
      </c>
      <c r="B26" s="901">
        <v>5396098</v>
      </c>
      <c r="C26" s="901"/>
      <c r="D26" s="901">
        <v>1570346</v>
      </c>
      <c r="E26" s="901"/>
      <c r="F26" s="902"/>
      <c r="G26" s="901"/>
      <c r="H26" s="901"/>
      <c r="I26" s="901">
        <v>306790</v>
      </c>
      <c r="J26" s="901">
        <f>616731+672347</f>
        <v>1289078</v>
      </c>
      <c r="K26" s="901"/>
      <c r="L26" s="901"/>
      <c r="M26" s="901">
        <v>51888095</v>
      </c>
      <c r="N26" s="902">
        <v>411238</v>
      </c>
      <c r="O26" s="901"/>
      <c r="P26" s="902">
        <v>1613605</v>
      </c>
      <c r="Q26" s="902">
        <v>9502001</v>
      </c>
      <c r="R26" s="901"/>
      <c r="S26" s="901">
        <v>5253025</v>
      </c>
      <c r="T26" s="902"/>
      <c r="U26" s="902"/>
      <c r="V26" s="902"/>
      <c r="W26" s="902"/>
      <c r="X26" s="902"/>
      <c r="Y26" s="902">
        <f t="shared" si="2"/>
        <v>77230276</v>
      </c>
      <c r="Z26" s="902"/>
      <c r="AA26" s="906">
        <f t="shared" si="3"/>
        <v>77230276</v>
      </c>
    </row>
    <row r="27" spans="1:27" x14ac:dyDescent="0.3">
      <c r="A27" s="451" t="s">
        <v>289</v>
      </c>
      <c r="B27" s="901"/>
      <c r="C27" s="901">
        <v>845891</v>
      </c>
      <c r="D27" s="901"/>
      <c r="E27" s="901"/>
      <c r="F27" s="902">
        <v>196243</v>
      </c>
      <c r="G27" s="901">
        <v>4423772</v>
      </c>
      <c r="H27" s="901"/>
      <c r="I27" s="901"/>
      <c r="J27" s="901"/>
      <c r="K27" s="901">
        <v>574441</v>
      </c>
      <c r="L27" s="901">
        <v>25758834</v>
      </c>
      <c r="M27" s="901"/>
      <c r="N27" s="902"/>
      <c r="O27" s="901">
        <v>1965283</v>
      </c>
      <c r="P27" s="902"/>
      <c r="Q27" s="902"/>
      <c r="R27" s="901">
        <v>5749232</v>
      </c>
      <c r="S27" s="901"/>
      <c r="T27" s="902"/>
      <c r="U27" s="902">
        <v>22250075</v>
      </c>
      <c r="V27" s="902"/>
      <c r="W27" s="902">
        <v>3877179</v>
      </c>
      <c r="X27" s="902">
        <v>1882778</v>
      </c>
      <c r="Y27" s="902">
        <f t="shared" si="2"/>
        <v>67523728</v>
      </c>
      <c r="Z27" s="902">
        <v>240377</v>
      </c>
      <c r="AA27" s="906">
        <f t="shared" si="3"/>
        <v>67764105</v>
      </c>
    </row>
    <row r="28" spans="1:27" x14ac:dyDescent="0.3">
      <c r="A28" s="451" t="s">
        <v>290</v>
      </c>
      <c r="B28" s="901"/>
      <c r="C28" s="901">
        <v>7813</v>
      </c>
      <c r="D28" s="901"/>
      <c r="E28" s="901"/>
      <c r="F28" s="902"/>
      <c r="G28" s="901">
        <v>147528</v>
      </c>
      <c r="H28" s="901"/>
      <c r="I28" s="901"/>
      <c r="J28" s="901"/>
      <c r="K28" s="901"/>
      <c r="L28" s="901">
        <v>113190</v>
      </c>
      <c r="M28" s="901"/>
      <c r="N28" s="902"/>
      <c r="O28" s="901"/>
      <c r="P28" s="902"/>
      <c r="Q28" s="902"/>
      <c r="R28" s="901"/>
      <c r="S28" s="901"/>
      <c r="T28" s="902"/>
      <c r="U28" s="902">
        <v>472819</v>
      </c>
      <c r="V28" s="902">
        <v>236745</v>
      </c>
      <c r="W28" s="902">
        <v>6435</v>
      </c>
      <c r="X28" s="902">
        <v>24290</v>
      </c>
      <c r="Y28" s="902">
        <f t="shared" si="2"/>
        <v>1008820</v>
      </c>
      <c r="Z28" s="902">
        <v>244057</v>
      </c>
      <c r="AA28" s="906">
        <f t="shared" si="3"/>
        <v>1252877</v>
      </c>
    </row>
    <row r="29" spans="1:27" x14ac:dyDescent="0.3">
      <c r="A29" s="451" t="s">
        <v>291</v>
      </c>
      <c r="B29" s="901"/>
      <c r="C29" s="901"/>
      <c r="D29" s="901"/>
      <c r="E29" s="901">
        <v>417223495</v>
      </c>
      <c r="F29" s="902"/>
      <c r="G29" s="901"/>
      <c r="H29" s="901"/>
      <c r="I29" s="901"/>
      <c r="J29" s="901"/>
      <c r="K29" s="901"/>
      <c r="L29" s="901"/>
      <c r="M29" s="901"/>
      <c r="N29" s="902"/>
      <c r="O29" s="901"/>
      <c r="P29" s="902"/>
      <c r="Q29" s="902"/>
      <c r="R29" s="901"/>
      <c r="S29" s="901"/>
      <c r="T29" s="902"/>
      <c r="U29" s="902"/>
      <c r="V29" s="902"/>
      <c r="W29" s="902"/>
      <c r="X29" s="902"/>
      <c r="Y29" s="902">
        <f t="shared" si="2"/>
        <v>417223495</v>
      </c>
      <c r="Z29" s="902"/>
      <c r="AA29" s="906">
        <f t="shared" si="3"/>
        <v>417223495</v>
      </c>
    </row>
    <row r="30" spans="1:27" x14ac:dyDescent="0.3">
      <c r="A30" s="451" t="s">
        <v>292</v>
      </c>
      <c r="B30" s="901">
        <v>32881956</v>
      </c>
      <c r="C30" s="901"/>
      <c r="D30" s="901"/>
      <c r="E30" s="901"/>
      <c r="F30" s="902"/>
      <c r="G30" s="901"/>
      <c r="H30" s="901"/>
      <c r="I30" s="901"/>
      <c r="J30" s="901"/>
      <c r="K30" s="901"/>
      <c r="L30" s="901"/>
      <c r="M30" s="901"/>
      <c r="N30" s="902"/>
      <c r="O30" s="901"/>
      <c r="P30" s="902"/>
      <c r="Q30" s="902"/>
      <c r="R30" s="901"/>
      <c r="S30" s="901"/>
      <c r="T30" s="902"/>
      <c r="U30" s="902"/>
      <c r="V30" s="902"/>
      <c r="W30" s="902"/>
      <c r="X30" s="902"/>
      <c r="Y30" s="902">
        <f t="shared" si="2"/>
        <v>32881956</v>
      </c>
      <c r="Z30" s="902"/>
      <c r="AA30" s="906">
        <f t="shared" si="3"/>
        <v>32881956</v>
      </c>
    </row>
    <row r="31" spans="1:27" x14ac:dyDescent="0.3">
      <c r="A31" s="329" t="s">
        <v>293</v>
      </c>
      <c r="B31" s="901"/>
      <c r="C31" s="901"/>
      <c r="D31" s="901"/>
      <c r="E31" s="901">
        <v>4355246</v>
      </c>
      <c r="F31" s="902">
        <v>786875</v>
      </c>
      <c r="G31" s="901">
        <v>543781</v>
      </c>
      <c r="H31" s="901"/>
      <c r="I31" s="901">
        <v>23451</v>
      </c>
      <c r="J31" s="901"/>
      <c r="K31" s="901">
        <v>334832</v>
      </c>
      <c r="L31" s="901">
        <v>9591962</v>
      </c>
      <c r="M31" s="901"/>
      <c r="N31" s="902">
        <v>387432</v>
      </c>
      <c r="O31" s="901">
        <v>621249</v>
      </c>
      <c r="P31" s="902">
        <v>2029956</v>
      </c>
      <c r="Q31" s="902"/>
      <c r="R31" s="901">
        <v>1790875</v>
      </c>
      <c r="S31" s="901"/>
      <c r="T31" s="902"/>
      <c r="U31" s="902"/>
      <c r="V31" s="902">
        <v>23212</v>
      </c>
      <c r="W31" s="902">
        <v>1511596</v>
      </c>
      <c r="X31" s="902">
        <f>819204+16638</f>
        <v>835842</v>
      </c>
      <c r="Y31" s="902">
        <f t="shared" si="2"/>
        <v>22836309</v>
      </c>
      <c r="Z31" s="902">
        <v>779</v>
      </c>
      <c r="AA31" s="906">
        <f t="shared" si="3"/>
        <v>22837088</v>
      </c>
    </row>
    <row r="32" spans="1:27" x14ac:dyDescent="0.3">
      <c r="A32" s="451" t="s">
        <v>233</v>
      </c>
      <c r="B32" s="901"/>
      <c r="C32" s="901"/>
      <c r="D32" s="901"/>
      <c r="E32" s="901"/>
      <c r="F32" s="902"/>
      <c r="G32" s="901"/>
      <c r="H32" s="901"/>
      <c r="I32" s="901"/>
      <c r="J32" s="901"/>
      <c r="K32" s="901"/>
      <c r="L32" s="901"/>
      <c r="M32" s="901">
        <v>8036</v>
      </c>
      <c r="N32" s="902"/>
      <c r="O32" s="901"/>
      <c r="P32" s="902"/>
      <c r="Q32" s="902">
        <v>85540</v>
      </c>
      <c r="R32" s="901"/>
      <c r="S32" s="901"/>
      <c r="T32" s="902"/>
      <c r="U32" s="902"/>
      <c r="V32" s="902"/>
      <c r="W32" s="902"/>
      <c r="X32" s="902"/>
      <c r="Y32" s="902">
        <f t="shared" si="2"/>
        <v>93576</v>
      </c>
      <c r="Z32" s="902"/>
      <c r="AA32" s="906">
        <f t="shared" si="3"/>
        <v>93576</v>
      </c>
    </row>
    <row r="33" spans="1:27" x14ac:dyDescent="0.3">
      <c r="A33" s="451" t="s">
        <v>281</v>
      </c>
      <c r="B33" s="901">
        <v>52289</v>
      </c>
      <c r="C33" s="901"/>
      <c r="D33" s="901"/>
      <c r="E33" s="901"/>
      <c r="F33" s="902"/>
      <c r="G33" s="901"/>
      <c r="H33" s="901"/>
      <c r="I33" s="901"/>
      <c r="J33" s="901">
        <v>715084</v>
      </c>
      <c r="K33" s="901"/>
      <c r="L33" s="901"/>
      <c r="M33" s="901">
        <v>8773567</v>
      </c>
      <c r="N33" s="902"/>
      <c r="O33" s="901"/>
      <c r="P33" s="902"/>
      <c r="Q33" s="902">
        <v>18569902</v>
      </c>
      <c r="R33" s="901"/>
      <c r="S33" s="901">
        <v>1997489</v>
      </c>
      <c r="T33" s="902"/>
      <c r="U33" s="902"/>
      <c r="V33" s="902"/>
      <c r="W33" s="902"/>
      <c r="X33" s="902"/>
      <c r="Y33" s="902">
        <f t="shared" si="2"/>
        <v>30108331</v>
      </c>
      <c r="Z33" s="902"/>
      <c r="AA33" s="906">
        <f t="shared" si="3"/>
        <v>30108331</v>
      </c>
    </row>
    <row r="34" spans="1:27" x14ac:dyDescent="0.3">
      <c r="A34" s="451" t="s">
        <v>77</v>
      </c>
      <c r="B34" s="901"/>
      <c r="C34" s="901">
        <v>685912</v>
      </c>
      <c r="D34" s="901">
        <v>651732</v>
      </c>
      <c r="E34" s="901"/>
      <c r="F34" s="902"/>
      <c r="G34" s="901"/>
      <c r="H34" s="901"/>
      <c r="I34" s="901"/>
      <c r="J34" s="901"/>
      <c r="K34" s="901"/>
      <c r="L34" s="901"/>
      <c r="M34" s="901"/>
      <c r="N34" s="902"/>
      <c r="O34" s="901"/>
      <c r="P34" s="902"/>
      <c r="Q34" s="902"/>
      <c r="R34" s="901"/>
      <c r="S34" s="901"/>
      <c r="T34" s="902"/>
      <c r="U34" s="902">
        <v>1934792</v>
      </c>
      <c r="V34" s="902"/>
      <c r="W34" s="902"/>
      <c r="X34" s="902"/>
      <c r="Y34" s="902">
        <f t="shared" si="2"/>
        <v>3272436</v>
      </c>
      <c r="Z34" s="902"/>
      <c r="AA34" s="906">
        <f t="shared" si="3"/>
        <v>3272436</v>
      </c>
    </row>
    <row r="35" spans="1:27" s="913" customFormat="1" ht="13.5" x14ac:dyDescent="0.25">
      <c r="A35" s="910" t="s">
        <v>294</v>
      </c>
      <c r="B35" s="911">
        <v>379659434</v>
      </c>
      <c r="C35" s="911">
        <v>39900685</v>
      </c>
      <c r="D35" s="911">
        <v>104158317</v>
      </c>
      <c r="E35" s="911">
        <v>521687368</v>
      </c>
      <c r="F35" s="912">
        <v>70474760</v>
      </c>
      <c r="G35" s="911">
        <v>129698095</v>
      </c>
      <c r="H35" s="911">
        <v>38733160</v>
      </c>
      <c r="I35" s="911">
        <v>34104222</v>
      </c>
      <c r="J35" s="911">
        <v>133812780</v>
      </c>
      <c r="K35" s="911">
        <v>48394864</v>
      </c>
      <c r="L35" s="911">
        <v>1058350679</v>
      </c>
      <c r="M35" s="911">
        <v>1383736824</v>
      </c>
      <c r="N35" s="912">
        <v>76757766</v>
      </c>
      <c r="O35" s="911">
        <v>127406498</v>
      </c>
      <c r="P35" s="912">
        <v>249625114</v>
      </c>
      <c r="Q35" s="912">
        <v>531787718</v>
      </c>
      <c r="R35" s="911">
        <v>184470973</v>
      </c>
      <c r="S35" s="911">
        <v>194748109</v>
      </c>
      <c r="T35" s="912"/>
      <c r="U35" s="912">
        <v>1181557637</v>
      </c>
      <c r="V35" s="912">
        <v>37258515</v>
      </c>
      <c r="W35" s="912">
        <v>73389007</v>
      </c>
      <c r="X35" s="912">
        <v>245391306</v>
      </c>
      <c r="Y35" s="912">
        <f t="shared" si="2"/>
        <v>6845103831</v>
      </c>
      <c r="Z35" s="912">
        <v>27916152098</v>
      </c>
      <c r="AA35" s="910">
        <f t="shared" si="3"/>
        <v>34761255929</v>
      </c>
    </row>
    <row r="36" spans="1:27" x14ac:dyDescent="0.3">
      <c r="A36" s="329" t="s">
        <v>295</v>
      </c>
      <c r="B36" s="901"/>
      <c r="C36" s="901"/>
      <c r="D36" s="901"/>
      <c r="E36" s="901"/>
      <c r="F36" s="902"/>
      <c r="G36" s="901"/>
      <c r="H36" s="901"/>
      <c r="I36" s="901"/>
      <c r="J36" s="901"/>
      <c r="K36" s="901"/>
      <c r="L36" s="901"/>
      <c r="M36" s="901"/>
      <c r="N36" s="902"/>
      <c r="O36" s="901"/>
      <c r="P36" s="902"/>
      <c r="Q36" s="902"/>
      <c r="R36" s="901"/>
      <c r="S36" s="901"/>
      <c r="T36" s="902"/>
      <c r="U36" s="902"/>
      <c r="V36" s="902"/>
      <c r="W36" s="902"/>
      <c r="X36" s="902"/>
      <c r="Y36" s="902">
        <f t="shared" si="2"/>
        <v>0</v>
      </c>
      <c r="Z36" s="902"/>
      <c r="AA36" s="906">
        <f t="shared" si="3"/>
        <v>0</v>
      </c>
    </row>
    <row r="37" spans="1:27" x14ac:dyDescent="0.3">
      <c r="A37" s="329" t="s">
        <v>296</v>
      </c>
      <c r="B37" s="901"/>
      <c r="C37" s="901"/>
      <c r="D37" s="901"/>
      <c r="E37" s="901"/>
      <c r="F37" s="902"/>
      <c r="G37" s="901"/>
      <c r="H37" s="901"/>
      <c r="I37" s="901"/>
      <c r="J37" s="901"/>
      <c r="K37" s="901"/>
      <c r="L37" s="901"/>
      <c r="M37" s="901"/>
      <c r="N37" s="902"/>
      <c r="O37" s="901"/>
      <c r="P37" s="902"/>
      <c r="Q37" s="902"/>
      <c r="R37" s="901"/>
      <c r="S37" s="901"/>
      <c r="T37" s="902"/>
      <c r="U37" s="902"/>
      <c r="V37" s="902"/>
      <c r="W37" s="902"/>
      <c r="X37" s="902"/>
      <c r="Y37" s="902">
        <f t="shared" si="2"/>
        <v>0</v>
      </c>
      <c r="Z37" s="902"/>
      <c r="AA37" s="906">
        <f t="shared" si="3"/>
        <v>0</v>
      </c>
    </row>
    <row r="38" spans="1:27" x14ac:dyDescent="0.3">
      <c r="A38" s="451" t="s">
        <v>297</v>
      </c>
      <c r="B38" s="901">
        <v>18548763</v>
      </c>
      <c r="C38" s="901">
        <v>1417536</v>
      </c>
      <c r="D38" s="901">
        <v>6277301</v>
      </c>
      <c r="E38" s="901">
        <v>84902399</v>
      </c>
      <c r="F38" s="902">
        <v>2646966</v>
      </c>
      <c r="G38" s="901">
        <v>7636467</v>
      </c>
      <c r="H38" s="901">
        <v>8932049</v>
      </c>
      <c r="I38" s="901">
        <v>9892607</v>
      </c>
      <c r="J38" s="901">
        <v>9181541</v>
      </c>
      <c r="K38" s="901">
        <v>2556916</v>
      </c>
      <c r="L38" s="901">
        <v>40703311</v>
      </c>
      <c r="M38" s="901">
        <v>77492895</v>
      </c>
      <c r="N38" s="902">
        <v>5190427</v>
      </c>
      <c r="O38" s="901">
        <v>5926540</v>
      </c>
      <c r="P38" s="902">
        <v>19049277</v>
      </c>
      <c r="Q38" s="902">
        <v>32145857</v>
      </c>
      <c r="R38" s="901">
        <v>10532432</v>
      </c>
      <c r="S38" s="901">
        <v>11855206</v>
      </c>
      <c r="T38" s="902"/>
      <c r="U38" s="902">
        <v>50143473</v>
      </c>
      <c r="V38" s="902">
        <v>5395190</v>
      </c>
      <c r="W38" s="902">
        <v>3641702</v>
      </c>
      <c r="X38" s="902">
        <v>18537004</v>
      </c>
      <c r="Y38" s="902">
        <f t="shared" si="2"/>
        <v>432605859</v>
      </c>
      <c r="Z38" s="902">
        <v>5857975</v>
      </c>
      <c r="AA38" s="906">
        <f t="shared" si="3"/>
        <v>438463834</v>
      </c>
    </row>
    <row r="39" spans="1:27" x14ac:dyDescent="0.3">
      <c r="A39" s="451" t="s">
        <v>298</v>
      </c>
      <c r="B39" s="901">
        <v>102838774</v>
      </c>
      <c r="C39" s="901">
        <v>11078780</v>
      </c>
      <c r="D39" s="901">
        <v>42056078</v>
      </c>
      <c r="E39" s="901">
        <v>220906038</v>
      </c>
      <c r="F39" s="902">
        <v>31299376</v>
      </c>
      <c r="G39" s="901">
        <v>36656638</v>
      </c>
      <c r="H39" s="901">
        <v>23784739</v>
      </c>
      <c r="I39" s="901">
        <v>10623034</v>
      </c>
      <c r="J39" s="901">
        <v>92855648</v>
      </c>
      <c r="K39" s="901">
        <v>23785430</v>
      </c>
      <c r="L39" s="901">
        <v>453471355</v>
      </c>
      <c r="M39" s="901">
        <v>332888519</v>
      </c>
      <c r="N39" s="902">
        <v>43920188</v>
      </c>
      <c r="O39" s="901">
        <v>81070091</v>
      </c>
      <c r="P39" s="902">
        <v>104454620</v>
      </c>
      <c r="Q39" s="902">
        <v>319238422</v>
      </c>
      <c r="R39" s="901">
        <v>99038814</v>
      </c>
      <c r="S39" s="901">
        <v>108449907</v>
      </c>
      <c r="T39" s="902"/>
      <c r="U39" s="902">
        <v>544856678</v>
      </c>
      <c r="V39" s="902">
        <v>23717983</v>
      </c>
      <c r="W39" s="902">
        <v>38297931</v>
      </c>
      <c r="X39" s="902">
        <v>129212550</v>
      </c>
      <c r="Y39" s="902">
        <f t="shared" si="2"/>
        <v>2874501593</v>
      </c>
      <c r="Z39" s="902">
        <v>25155495671</v>
      </c>
      <c r="AA39" s="906">
        <f t="shared" si="3"/>
        <v>28029997264</v>
      </c>
    </row>
    <row r="40" spans="1:27" x14ac:dyDescent="0.3">
      <c r="A40" s="451" t="s">
        <v>299</v>
      </c>
      <c r="B40" s="901">
        <v>247279103</v>
      </c>
      <c r="C40" s="901">
        <v>8964071</v>
      </c>
      <c r="D40" s="901">
        <v>41237591</v>
      </c>
      <c r="E40" s="901">
        <v>207776418</v>
      </c>
      <c r="F40" s="902">
        <v>11009260</v>
      </c>
      <c r="G40" s="901">
        <v>82582728</v>
      </c>
      <c r="H40" s="901">
        <v>2982134</v>
      </c>
      <c r="I40" s="901">
        <v>3864911</v>
      </c>
      <c r="J40" s="901">
        <v>20624857</v>
      </c>
      <c r="K40" s="901">
        <v>6121995</v>
      </c>
      <c r="L40" s="901">
        <v>571853931</v>
      </c>
      <c r="M40" s="901">
        <v>975019684</v>
      </c>
      <c r="N40" s="902">
        <v>23528189</v>
      </c>
      <c r="O40" s="901">
        <v>36815062</v>
      </c>
      <c r="P40" s="902">
        <v>126469480</v>
      </c>
      <c r="Q40" s="902">
        <v>170981206</v>
      </c>
      <c r="R40" s="901">
        <v>62841938</v>
      </c>
      <c r="S40" s="901">
        <v>70650605</v>
      </c>
      <c r="T40" s="902"/>
      <c r="U40" s="902">
        <v>549358541</v>
      </c>
      <c r="V40" s="902">
        <v>6323977</v>
      </c>
      <c r="W40" s="902">
        <v>26888668</v>
      </c>
      <c r="X40" s="902">
        <v>92504419</v>
      </c>
      <c r="Y40" s="902">
        <f t="shared" si="2"/>
        <v>3345678768</v>
      </c>
      <c r="Z40" s="902">
        <v>881335833</v>
      </c>
      <c r="AA40" s="906">
        <f t="shared" si="3"/>
        <v>4227014601</v>
      </c>
    </row>
    <row r="41" spans="1:27" x14ac:dyDescent="0.3">
      <c r="A41" s="451" t="s">
        <v>300</v>
      </c>
      <c r="B41" s="901">
        <v>742998</v>
      </c>
      <c r="C41" s="901">
        <v>551115</v>
      </c>
      <c r="D41" s="901"/>
      <c r="E41" s="901">
        <v>2356237</v>
      </c>
      <c r="F41" s="902">
        <v>50180</v>
      </c>
      <c r="G41" s="901">
        <v>1109</v>
      </c>
      <c r="H41" s="901">
        <v>54166</v>
      </c>
      <c r="I41" s="901">
        <v>19561</v>
      </c>
      <c r="J41" s="901">
        <v>1516</v>
      </c>
      <c r="K41" s="901">
        <v>70291</v>
      </c>
      <c r="L41" s="901">
        <v>187391</v>
      </c>
      <c r="M41" s="901">
        <v>1450588</v>
      </c>
      <c r="N41" s="902">
        <v>10920</v>
      </c>
      <c r="O41" s="901">
        <v>44576</v>
      </c>
      <c r="P41" s="902">
        <v>1306237</v>
      </c>
      <c r="Q41" s="902">
        <v>2232576</v>
      </c>
      <c r="R41" s="901">
        <v>368471</v>
      </c>
      <c r="S41" s="901">
        <v>262098</v>
      </c>
      <c r="T41" s="902"/>
      <c r="U41" s="902">
        <v>1709016</v>
      </c>
      <c r="V41" s="902">
        <v>96819</v>
      </c>
      <c r="W41" s="902">
        <v>89238</v>
      </c>
      <c r="X41" s="902">
        <v>3216689</v>
      </c>
      <c r="Y41" s="902">
        <f t="shared" si="2"/>
        <v>14821792</v>
      </c>
      <c r="Z41" s="902">
        <v>1027498033</v>
      </c>
      <c r="AA41" s="906">
        <f t="shared" si="3"/>
        <v>1042319825</v>
      </c>
    </row>
    <row r="42" spans="1:27" x14ac:dyDescent="0.3">
      <c r="A42" s="451" t="s">
        <v>301</v>
      </c>
      <c r="B42" s="901">
        <v>740066</v>
      </c>
      <c r="C42" s="901">
        <v>203926</v>
      </c>
      <c r="D42" s="901">
        <v>137427</v>
      </c>
      <c r="E42" s="901">
        <v>2372746</v>
      </c>
      <c r="F42" s="902">
        <v>230120</v>
      </c>
      <c r="G42" s="901">
        <v>90086</v>
      </c>
      <c r="H42" s="901">
        <v>543442</v>
      </c>
      <c r="I42" s="901">
        <v>889338</v>
      </c>
      <c r="J42" s="901">
        <v>412636</v>
      </c>
      <c r="K42" s="901">
        <v>480593</v>
      </c>
      <c r="L42" s="901">
        <v>3414037</v>
      </c>
      <c r="M42" s="901">
        <v>4220622</v>
      </c>
      <c r="N42" s="902">
        <v>1438330</v>
      </c>
      <c r="O42" s="901">
        <v>213744</v>
      </c>
      <c r="P42" s="902">
        <v>653867</v>
      </c>
      <c r="Q42" s="902">
        <v>1581831</v>
      </c>
      <c r="R42" s="901">
        <v>795047</v>
      </c>
      <c r="S42" s="901">
        <v>284457</v>
      </c>
      <c r="T42" s="902"/>
      <c r="U42" s="902">
        <v>5812919</v>
      </c>
      <c r="V42" s="902">
        <v>406339</v>
      </c>
      <c r="W42" s="902">
        <v>195600</v>
      </c>
      <c r="X42" s="902">
        <v>1753637</v>
      </c>
      <c r="Y42" s="902">
        <f t="shared" ref="Y42:Y67" si="4">B42+C42+D42+E42+F42+G42+H42+I42+J42+K42+L42+M42+N42+O42+P42+Q42+R42+S42+T42+U42+V42+W42+X42</f>
        <v>26870810</v>
      </c>
      <c r="Z42" s="902">
        <v>27488615</v>
      </c>
      <c r="AA42" s="906">
        <f t="shared" ref="AA42:AA67" si="5">Y42+Z42</f>
        <v>54359425</v>
      </c>
    </row>
    <row r="43" spans="1:27" x14ac:dyDescent="0.3">
      <c r="A43" s="329" t="s">
        <v>302</v>
      </c>
      <c r="B43" s="901"/>
      <c r="C43" s="901"/>
      <c r="D43" s="901"/>
      <c r="E43" s="901"/>
      <c r="F43" s="902"/>
      <c r="G43" s="901"/>
      <c r="H43" s="901"/>
      <c r="I43" s="901"/>
      <c r="J43" s="901"/>
      <c r="K43" s="901"/>
      <c r="L43" s="901"/>
      <c r="M43" s="901"/>
      <c r="N43" s="902"/>
      <c r="O43" s="901"/>
      <c r="P43" s="902"/>
      <c r="Q43" s="902"/>
      <c r="R43" s="901"/>
      <c r="S43" s="901"/>
      <c r="T43" s="902"/>
      <c r="U43" s="902"/>
      <c r="V43" s="902"/>
      <c r="W43" s="902"/>
      <c r="X43" s="902"/>
      <c r="Y43" s="902">
        <f t="shared" si="4"/>
        <v>0</v>
      </c>
      <c r="Z43" s="902"/>
      <c r="AA43" s="906">
        <f t="shared" si="5"/>
        <v>0</v>
      </c>
    </row>
    <row r="44" spans="1:27" x14ac:dyDescent="0.3">
      <c r="A44" s="329" t="s">
        <v>303</v>
      </c>
      <c r="B44" s="901"/>
      <c r="C44" s="901"/>
      <c r="D44" s="901"/>
      <c r="E44" s="901"/>
      <c r="F44" s="902"/>
      <c r="G44" s="901"/>
      <c r="H44" s="901">
        <v>367921</v>
      </c>
      <c r="I44" s="901"/>
      <c r="J44" s="901">
        <v>66540</v>
      </c>
      <c r="K44" s="901"/>
      <c r="L44" s="901"/>
      <c r="M44" s="901">
        <v>463</v>
      </c>
      <c r="N44" s="902"/>
      <c r="O44" s="901"/>
      <c r="P44" s="902"/>
      <c r="Q44" s="902"/>
      <c r="R44" s="901"/>
      <c r="S44" s="901"/>
      <c r="T44" s="902"/>
      <c r="U44" s="902"/>
      <c r="V44" s="902"/>
      <c r="W44" s="902"/>
      <c r="X44" s="902"/>
      <c r="Y44" s="902">
        <f t="shared" si="4"/>
        <v>434924</v>
      </c>
      <c r="Z44" s="902"/>
      <c r="AA44" s="906">
        <f t="shared" si="5"/>
        <v>434924</v>
      </c>
    </row>
    <row r="45" spans="1:27" x14ac:dyDescent="0.3">
      <c r="A45" s="451" t="s">
        <v>304</v>
      </c>
      <c r="B45" s="901">
        <v>6084417</v>
      </c>
      <c r="C45" s="901">
        <v>471706</v>
      </c>
      <c r="D45" s="901">
        <v>1058619</v>
      </c>
      <c r="E45" s="901">
        <v>5019695</v>
      </c>
      <c r="F45" s="902">
        <v>1110674</v>
      </c>
      <c r="G45" s="901">
        <v>2105936</v>
      </c>
      <c r="H45" s="901">
        <v>860493</v>
      </c>
      <c r="I45" s="901">
        <v>946125</v>
      </c>
      <c r="J45" s="901">
        <v>2099244</v>
      </c>
      <c r="K45" s="901">
        <v>1081120</v>
      </c>
      <c r="L45" s="901">
        <v>11084746</v>
      </c>
      <c r="M45" s="901">
        <v>2037435</v>
      </c>
      <c r="N45" s="902">
        <v>1637837</v>
      </c>
      <c r="O45" s="901">
        <v>1010473</v>
      </c>
      <c r="P45" s="902">
        <v>4347302</v>
      </c>
      <c r="Q45" s="902">
        <v>4405018</v>
      </c>
      <c r="R45" s="901">
        <v>2898191</v>
      </c>
      <c r="S45" s="901">
        <v>2668045</v>
      </c>
      <c r="T45" s="902"/>
      <c r="U45" s="902">
        <v>26446283</v>
      </c>
      <c r="V45" s="902">
        <v>2001724</v>
      </c>
      <c r="W45" s="902">
        <v>890906</v>
      </c>
      <c r="X45" s="902">
        <v>2623941</v>
      </c>
      <c r="Y45" s="902">
        <f t="shared" si="4"/>
        <v>82889930</v>
      </c>
      <c r="Z45" s="902">
        <v>226805305</v>
      </c>
      <c r="AA45" s="906">
        <f t="shared" si="5"/>
        <v>309695235</v>
      </c>
    </row>
    <row r="46" spans="1:27" x14ac:dyDescent="0.3">
      <c r="A46" s="451" t="s">
        <v>305</v>
      </c>
      <c r="B46" s="901">
        <v>10001394</v>
      </c>
      <c r="C46" s="901">
        <v>1328056</v>
      </c>
      <c r="D46" s="901">
        <v>4840503</v>
      </c>
      <c r="E46" s="901">
        <v>22857303</v>
      </c>
      <c r="F46" s="902">
        <v>3322686</v>
      </c>
      <c r="G46" s="901">
        <v>2281668</v>
      </c>
      <c r="H46" s="901">
        <v>2638538</v>
      </c>
      <c r="I46" s="901">
        <v>1871391</v>
      </c>
      <c r="J46" s="901">
        <v>5590932</v>
      </c>
      <c r="K46" s="901">
        <v>2159383</v>
      </c>
      <c r="L46" s="901">
        <v>24099813</v>
      </c>
      <c r="M46" s="901">
        <v>25102587</v>
      </c>
      <c r="N46" s="902">
        <v>4650936</v>
      </c>
      <c r="O46" s="901">
        <v>5903294</v>
      </c>
      <c r="P46" s="902">
        <v>6285262</v>
      </c>
      <c r="Q46" s="902">
        <v>19043478</v>
      </c>
      <c r="R46" s="901">
        <v>8242217</v>
      </c>
      <c r="S46" s="901">
        <v>11404820</v>
      </c>
      <c r="T46" s="902"/>
      <c r="U46" s="902">
        <v>38761841</v>
      </c>
      <c r="V46" s="902">
        <v>2485861</v>
      </c>
      <c r="W46" s="902">
        <v>4542539</v>
      </c>
      <c r="X46" s="902">
        <v>7061084</v>
      </c>
      <c r="Y46" s="902">
        <f t="shared" si="4"/>
        <v>214475586</v>
      </c>
      <c r="Z46" s="902">
        <v>1125413436</v>
      </c>
      <c r="AA46" s="906">
        <f t="shared" si="5"/>
        <v>1339889022</v>
      </c>
    </row>
    <row r="47" spans="1:27" s="96" customFormat="1" ht="13.5" x14ac:dyDescent="0.25">
      <c r="A47" s="329" t="s">
        <v>306</v>
      </c>
      <c r="B47" s="907">
        <v>16085811</v>
      </c>
      <c r="C47" s="907">
        <v>1799762</v>
      </c>
      <c r="D47" s="907">
        <f>SUM(D45:D46)</f>
        <v>5899122</v>
      </c>
      <c r="E47" s="907">
        <f t="shared" ref="E47:J47" si="6">SUM(E45:E46)</f>
        <v>27876998</v>
      </c>
      <c r="F47" s="907">
        <f t="shared" si="6"/>
        <v>4433360</v>
      </c>
      <c r="G47" s="907">
        <f t="shared" si="6"/>
        <v>4387604</v>
      </c>
      <c r="H47" s="907">
        <f t="shared" si="6"/>
        <v>3499031</v>
      </c>
      <c r="I47" s="907">
        <f t="shared" si="6"/>
        <v>2817516</v>
      </c>
      <c r="J47" s="907">
        <f t="shared" si="6"/>
        <v>7690176</v>
      </c>
      <c r="K47" s="907">
        <f t="shared" ref="K47:X47" si="7">SUM(K45:K46)</f>
        <v>3240503</v>
      </c>
      <c r="L47" s="907">
        <f t="shared" si="7"/>
        <v>35184559</v>
      </c>
      <c r="M47" s="907">
        <f t="shared" si="7"/>
        <v>27140022</v>
      </c>
      <c r="N47" s="907">
        <f t="shared" si="7"/>
        <v>6288773</v>
      </c>
      <c r="O47" s="907">
        <f t="shared" si="7"/>
        <v>6913767</v>
      </c>
      <c r="P47" s="907">
        <f t="shared" si="7"/>
        <v>10632564</v>
      </c>
      <c r="Q47" s="907">
        <f t="shared" si="7"/>
        <v>23448496</v>
      </c>
      <c r="R47" s="907">
        <f t="shared" si="7"/>
        <v>11140408</v>
      </c>
      <c r="S47" s="907">
        <f t="shared" si="7"/>
        <v>14072865</v>
      </c>
      <c r="T47" s="907">
        <f t="shared" si="7"/>
        <v>0</v>
      </c>
      <c r="U47" s="907">
        <f t="shared" si="7"/>
        <v>65208124</v>
      </c>
      <c r="V47" s="907">
        <f t="shared" si="7"/>
        <v>4487585</v>
      </c>
      <c r="W47" s="907">
        <f t="shared" si="7"/>
        <v>5433445</v>
      </c>
      <c r="X47" s="907">
        <f t="shared" si="7"/>
        <v>9685025</v>
      </c>
      <c r="Y47" s="908">
        <f t="shared" si="4"/>
        <v>297365516</v>
      </c>
      <c r="Z47" s="908">
        <f>SUM(Z45:Z46)</f>
        <v>1352218741</v>
      </c>
      <c r="AA47" s="909">
        <f t="shared" si="5"/>
        <v>1649584257</v>
      </c>
    </row>
    <row r="48" spans="1:27" x14ac:dyDescent="0.3">
      <c r="A48" s="451" t="s">
        <v>307</v>
      </c>
      <c r="B48" s="901">
        <v>8304533</v>
      </c>
      <c r="C48" s="901">
        <v>1602288</v>
      </c>
      <c r="D48" s="901">
        <v>4854666</v>
      </c>
      <c r="E48" s="901">
        <v>19763902</v>
      </c>
      <c r="F48" s="902">
        <v>3518384</v>
      </c>
      <c r="G48" s="901">
        <v>3191150</v>
      </c>
      <c r="H48" s="901">
        <v>3775735</v>
      </c>
      <c r="I48" s="901">
        <v>2043957</v>
      </c>
      <c r="J48" s="901">
        <v>4320844</v>
      </c>
      <c r="K48" s="901">
        <v>2502595</v>
      </c>
      <c r="L48" s="901">
        <v>46027194</v>
      </c>
      <c r="M48" s="901">
        <v>34254125</v>
      </c>
      <c r="N48" s="902">
        <v>3763143</v>
      </c>
      <c r="O48" s="901">
        <v>5150747</v>
      </c>
      <c r="P48" s="902">
        <v>12680636</v>
      </c>
      <c r="Q48" s="902">
        <v>17439218</v>
      </c>
      <c r="R48" s="901">
        <v>9361349</v>
      </c>
      <c r="S48" s="901">
        <v>13401419</v>
      </c>
      <c r="T48" s="902"/>
      <c r="U48" s="902">
        <v>32045708</v>
      </c>
      <c r="V48" s="902">
        <v>3043571</v>
      </c>
      <c r="W48" s="902">
        <v>1355507</v>
      </c>
      <c r="X48" s="902">
        <v>9204090</v>
      </c>
      <c r="Y48" s="902">
        <f t="shared" si="4"/>
        <v>241604761</v>
      </c>
      <c r="Z48" s="902">
        <v>361787985</v>
      </c>
      <c r="AA48" s="906">
        <f t="shared" si="5"/>
        <v>603392746</v>
      </c>
    </row>
    <row r="49" spans="1:27" x14ac:dyDescent="0.3">
      <c r="A49" s="451" t="s">
        <v>308</v>
      </c>
      <c r="B49" s="901">
        <v>251240</v>
      </c>
      <c r="C49" s="901">
        <v>15783</v>
      </c>
      <c r="D49" s="901">
        <v>99987</v>
      </c>
      <c r="E49" s="901">
        <v>4739566</v>
      </c>
      <c r="F49" s="902">
        <v>205776</v>
      </c>
      <c r="G49" s="901">
        <v>63145</v>
      </c>
      <c r="H49" s="901">
        <v>135114</v>
      </c>
      <c r="I49" s="901">
        <v>333953</v>
      </c>
      <c r="J49" s="901">
        <v>107618</v>
      </c>
      <c r="K49" s="901">
        <v>40891</v>
      </c>
      <c r="L49" s="901">
        <v>436711</v>
      </c>
      <c r="M49" s="901">
        <v>221844</v>
      </c>
      <c r="N49" s="902">
        <v>57428</v>
      </c>
      <c r="O49" s="901">
        <v>10909</v>
      </c>
      <c r="P49" s="902">
        <v>260295</v>
      </c>
      <c r="Q49" s="902">
        <v>401452</v>
      </c>
      <c r="R49" s="901">
        <v>261263</v>
      </c>
      <c r="S49" s="901">
        <v>4337</v>
      </c>
      <c r="T49" s="902"/>
      <c r="U49" s="902">
        <v>3485406</v>
      </c>
      <c r="V49" s="902">
        <v>125809</v>
      </c>
      <c r="W49" s="902">
        <v>28706</v>
      </c>
      <c r="X49" s="902">
        <v>313928</v>
      </c>
      <c r="Y49" s="902">
        <f t="shared" si="4"/>
        <v>11601161</v>
      </c>
      <c r="Z49" s="902">
        <v>171954785</v>
      </c>
      <c r="AA49" s="906">
        <f t="shared" si="5"/>
        <v>183555946</v>
      </c>
    </row>
    <row r="50" spans="1:27" s="96" customFormat="1" ht="13.5" x14ac:dyDescent="0.25">
      <c r="A50" s="329" t="s">
        <v>309</v>
      </c>
      <c r="B50" s="907">
        <f>B48+B49</f>
        <v>8555773</v>
      </c>
      <c r="C50" s="907">
        <f t="shared" ref="C50:L50" si="8">C48+C49</f>
        <v>1618071</v>
      </c>
      <c r="D50" s="907">
        <f t="shared" si="8"/>
        <v>4954653</v>
      </c>
      <c r="E50" s="907">
        <f t="shared" si="8"/>
        <v>24503468</v>
      </c>
      <c r="F50" s="907">
        <f t="shared" si="8"/>
        <v>3724160</v>
      </c>
      <c r="G50" s="907">
        <f t="shared" si="8"/>
        <v>3254295</v>
      </c>
      <c r="H50" s="907">
        <f t="shared" si="8"/>
        <v>3910849</v>
      </c>
      <c r="I50" s="907">
        <f t="shared" si="8"/>
        <v>2377910</v>
      </c>
      <c r="J50" s="907">
        <f t="shared" si="8"/>
        <v>4428462</v>
      </c>
      <c r="K50" s="907">
        <f t="shared" si="8"/>
        <v>2543486</v>
      </c>
      <c r="L50" s="907">
        <f t="shared" si="8"/>
        <v>46463905</v>
      </c>
      <c r="M50" s="907">
        <f t="shared" ref="M50:X50" si="9">M48+M49</f>
        <v>34475969</v>
      </c>
      <c r="N50" s="907">
        <f t="shared" si="9"/>
        <v>3820571</v>
      </c>
      <c r="O50" s="907">
        <f t="shared" si="9"/>
        <v>5161656</v>
      </c>
      <c r="P50" s="907">
        <f t="shared" si="9"/>
        <v>12940931</v>
      </c>
      <c r="Q50" s="907">
        <f t="shared" si="9"/>
        <v>17840670</v>
      </c>
      <c r="R50" s="907">
        <f t="shared" si="9"/>
        <v>9622612</v>
      </c>
      <c r="S50" s="907">
        <f t="shared" si="9"/>
        <v>13405756</v>
      </c>
      <c r="T50" s="907">
        <f t="shared" si="9"/>
        <v>0</v>
      </c>
      <c r="U50" s="907">
        <f t="shared" si="9"/>
        <v>35531114</v>
      </c>
      <c r="V50" s="907">
        <f t="shared" si="9"/>
        <v>3169380</v>
      </c>
      <c r="W50" s="907">
        <f t="shared" si="9"/>
        <v>1384213</v>
      </c>
      <c r="X50" s="907">
        <f t="shared" si="9"/>
        <v>9518018</v>
      </c>
      <c r="Y50" s="908">
        <f t="shared" si="4"/>
        <v>253205922</v>
      </c>
      <c r="Z50" s="908">
        <f>Z48+Z49</f>
        <v>533742770</v>
      </c>
      <c r="AA50" s="909">
        <f t="shared" si="5"/>
        <v>786948692</v>
      </c>
    </row>
    <row r="51" spans="1:27" s="96" customFormat="1" ht="13.5" x14ac:dyDescent="0.25">
      <c r="A51" s="329" t="s">
        <v>310</v>
      </c>
      <c r="B51" s="907">
        <f>B47-B50</f>
        <v>7530038</v>
      </c>
      <c r="C51" s="907">
        <f t="shared" ref="C51:L51" si="10">C47-C50</f>
        <v>181691</v>
      </c>
      <c r="D51" s="907">
        <f t="shared" si="10"/>
        <v>944469</v>
      </c>
      <c r="E51" s="907">
        <f t="shared" si="10"/>
        <v>3373530</v>
      </c>
      <c r="F51" s="907">
        <f t="shared" si="10"/>
        <v>709200</v>
      </c>
      <c r="G51" s="907">
        <f t="shared" si="10"/>
        <v>1133309</v>
      </c>
      <c r="H51" s="907">
        <f t="shared" si="10"/>
        <v>-411818</v>
      </c>
      <c r="I51" s="907">
        <f t="shared" si="10"/>
        <v>439606</v>
      </c>
      <c r="J51" s="907">
        <f t="shared" si="10"/>
        <v>3261714</v>
      </c>
      <c r="K51" s="907">
        <f t="shared" si="10"/>
        <v>697017</v>
      </c>
      <c r="L51" s="907">
        <f t="shared" si="10"/>
        <v>-11279346</v>
      </c>
      <c r="M51" s="907">
        <f t="shared" ref="M51:X51" si="11">M47-M50</f>
        <v>-7335947</v>
      </c>
      <c r="N51" s="907">
        <f t="shared" si="11"/>
        <v>2468202</v>
      </c>
      <c r="O51" s="907">
        <f t="shared" si="11"/>
        <v>1752111</v>
      </c>
      <c r="P51" s="907">
        <f t="shared" si="11"/>
        <v>-2308367</v>
      </c>
      <c r="Q51" s="907">
        <f t="shared" si="11"/>
        <v>5607826</v>
      </c>
      <c r="R51" s="907">
        <f t="shared" si="11"/>
        <v>1517796</v>
      </c>
      <c r="S51" s="907">
        <f t="shared" si="11"/>
        <v>667109</v>
      </c>
      <c r="T51" s="907">
        <f t="shared" si="11"/>
        <v>0</v>
      </c>
      <c r="U51" s="907">
        <f t="shared" si="11"/>
        <v>29677010</v>
      </c>
      <c r="V51" s="907">
        <f t="shared" si="11"/>
        <v>1318205</v>
      </c>
      <c r="W51" s="907">
        <f t="shared" si="11"/>
        <v>4049232</v>
      </c>
      <c r="X51" s="907">
        <f t="shared" si="11"/>
        <v>167007</v>
      </c>
      <c r="Y51" s="908">
        <f t="shared" si="4"/>
        <v>44159594</v>
      </c>
      <c r="Z51" s="908">
        <f>Z47-Z50</f>
        <v>818475971</v>
      </c>
      <c r="AA51" s="909">
        <f t="shared" si="5"/>
        <v>862635565</v>
      </c>
    </row>
    <row r="52" spans="1:27" x14ac:dyDescent="0.3">
      <c r="A52" s="451" t="s">
        <v>311</v>
      </c>
      <c r="B52" s="901"/>
      <c r="C52" s="901"/>
      <c r="D52" s="901"/>
      <c r="E52" s="901"/>
      <c r="F52" s="902"/>
      <c r="G52" s="901"/>
      <c r="H52" s="901"/>
      <c r="I52" s="901"/>
      <c r="J52" s="901"/>
      <c r="K52" s="901"/>
      <c r="L52" s="901"/>
      <c r="M52" s="901"/>
      <c r="N52" s="902"/>
      <c r="O52" s="901"/>
      <c r="P52" s="902"/>
      <c r="Q52" s="902"/>
      <c r="R52" s="901"/>
      <c r="S52" s="901"/>
      <c r="T52" s="902"/>
      <c r="U52" s="902"/>
      <c r="V52" s="902"/>
      <c r="W52" s="902"/>
      <c r="X52" s="902"/>
      <c r="Y52" s="902">
        <f t="shared" si="4"/>
        <v>0</v>
      </c>
      <c r="Z52" s="902"/>
      <c r="AA52" s="906">
        <f t="shared" si="5"/>
        <v>0</v>
      </c>
    </row>
    <row r="53" spans="1:27" x14ac:dyDescent="0.3">
      <c r="A53" s="451" t="s">
        <v>312</v>
      </c>
      <c r="B53" s="901"/>
      <c r="C53" s="901"/>
      <c r="D53" s="901"/>
      <c r="E53" s="901"/>
      <c r="F53" s="902"/>
      <c r="G53" s="901"/>
      <c r="H53" s="901"/>
      <c r="I53" s="901"/>
      <c r="J53" s="901"/>
      <c r="K53" s="901"/>
      <c r="L53" s="901"/>
      <c r="M53" s="901"/>
      <c r="N53" s="902"/>
      <c r="O53" s="901"/>
      <c r="P53" s="902"/>
      <c r="Q53" s="902"/>
      <c r="R53" s="901"/>
      <c r="S53" s="901"/>
      <c r="T53" s="902"/>
      <c r="U53" s="902"/>
      <c r="V53" s="902"/>
      <c r="W53" s="902"/>
      <c r="X53" s="902"/>
      <c r="Y53" s="902">
        <f t="shared" si="4"/>
        <v>0</v>
      </c>
      <c r="Z53" s="902"/>
      <c r="AA53" s="906">
        <f t="shared" si="5"/>
        <v>0</v>
      </c>
    </row>
    <row r="54" spans="1:27" x14ac:dyDescent="0.3">
      <c r="A54" s="451" t="s">
        <v>313</v>
      </c>
      <c r="B54" s="901">
        <v>1979692</v>
      </c>
      <c r="C54" s="901">
        <v>4584077</v>
      </c>
      <c r="D54" s="901">
        <v>13505451</v>
      </c>
      <c r="E54" s="901"/>
      <c r="F54" s="902">
        <v>24529658</v>
      </c>
      <c r="G54" s="901">
        <v>1597758</v>
      </c>
      <c r="H54" s="901">
        <v>2480527</v>
      </c>
      <c r="I54" s="901">
        <v>8375165</v>
      </c>
      <c r="J54" s="901">
        <v>7408329</v>
      </c>
      <c r="K54" s="901">
        <v>14682622</v>
      </c>
      <c r="L54" s="901"/>
      <c r="M54" s="901"/>
      <c r="N54" s="902">
        <v>201510</v>
      </c>
      <c r="O54" s="901">
        <v>1584371</v>
      </c>
      <c r="P54" s="902"/>
      <c r="Q54" s="902"/>
      <c r="R54" s="901">
        <v>9376475</v>
      </c>
      <c r="S54" s="901">
        <v>2578727</v>
      </c>
      <c r="T54" s="902"/>
      <c r="U54" s="902"/>
      <c r="V54" s="902"/>
      <c r="W54" s="902">
        <v>226636</v>
      </c>
      <c r="X54" s="902"/>
      <c r="Y54" s="902">
        <f t="shared" si="4"/>
        <v>93110998</v>
      </c>
      <c r="Z54" s="902"/>
      <c r="AA54" s="906">
        <f t="shared" si="5"/>
        <v>93110998</v>
      </c>
    </row>
    <row r="55" spans="1:27" x14ac:dyDescent="0.3">
      <c r="A55" s="451" t="s">
        <v>314</v>
      </c>
      <c r="B55" s="901"/>
      <c r="C55" s="901">
        <v>12919489</v>
      </c>
      <c r="D55" s="901"/>
      <c r="E55" s="901"/>
      <c r="F55" s="902"/>
      <c r="G55" s="901"/>
      <c r="H55" s="901"/>
      <c r="I55" s="901"/>
      <c r="J55" s="901"/>
      <c r="K55" s="901"/>
      <c r="L55" s="901"/>
      <c r="M55" s="901"/>
      <c r="N55" s="902"/>
      <c r="O55" s="901"/>
      <c r="P55" s="902"/>
      <c r="Q55" s="902"/>
      <c r="R55" s="901"/>
      <c r="S55" s="901"/>
      <c r="T55" s="902"/>
      <c r="U55" s="902"/>
      <c r="V55" s="902"/>
      <c r="W55" s="902"/>
      <c r="X55" s="902"/>
      <c r="Y55" s="902">
        <f t="shared" si="4"/>
        <v>12919489</v>
      </c>
      <c r="Z55" s="902"/>
      <c r="AA55" s="906">
        <f t="shared" si="5"/>
        <v>12919489</v>
      </c>
    </row>
    <row r="56" spans="1:27" s="913" customFormat="1" ht="13.5" x14ac:dyDescent="0.25">
      <c r="A56" s="910" t="s">
        <v>294</v>
      </c>
      <c r="B56" s="911">
        <v>1979692</v>
      </c>
      <c r="C56" s="911">
        <v>39900685</v>
      </c>
      <c r="D56" s="911">
        <v>104158317</v>
      </c>
      <c r="E56" s="911">
        <v>521687368</v>
      </c>
      <c r="F56" s="912">
        <v>70474760</v>
      </c>
      <c r="G56" s="911">
        <v>129698095</v>
      </c>
      <c r="H56" s="911">
        <v>38733160</v>
      </c>
      <c r="I56" s="911">
        <v>34104222</v>
      </c>
      <c r="J56" s="911">
        <v>133812780</v>
      </c>
      <c r="K56" s="911">
        <v>48394864</v>
      </c>
      <c r="L56" s="911">
        <v>1058350679</v>
      </c>
      <c r="M56" s="911">
        <v>1383736824</v>
      </c>
      <c r="N56" s="912">
        <v>76757766</v>
      </c>
      <c r="O56" s="911">
        <v>127406498</v>
      </c>
      <c r="P56" s="912">
        <v>249625114</v>
      </c>
      <c r="Q56" s="912">
        <v>531787718</v>
      </c>
      <c r="R56" s="911">
        <v>184470973</v>
      </c>
      <c r="S56" s="911">
        <v>194748109</v>
      </c>
      <c r="T56" s="912"/>
      <c r="U56" s="912">
        <v>1181557637</v>
      </c>
      <c r="V56" s="912">
        <v>37258515</v>
      </c>
      <c r="W56" s="912">
        <v>73389007</v>
      </c>
      <c r="X56" s="912">
        <v>245391306</v>
      </c>
      <c r="Y56" s="912">
        <f t="shared" si="4"/>
        <v>6467424089</v>
      </c>
      <c r="Z56" s="912">
        <v>27916152098</v>
      </c>
      <c r="AA56" s="910">
        <f t="shared" si="5"/>
        <v>34383576187</v>
      </c>
    </row>
    <row r="57" spans="1:27" x14ac:dyDescent="0.3">
      <c r="A57" s="329" t="s">
        <v>315</v>
      </c>
      <c r="B57" s="901"/>
      <c r="C57" s="901"/>
      <c r="D57" s="901"/>
      <c r="E57" s="901"/>
      <c r="F57" s="902"/>
      <c r="G57" s="901"/>
      <c r="H57" s="901"/>
      <c r="I57" s="901"/>
      <c r="J57" s="901"/>
      <c r="K57" s="901"/>
      <c r="L57" s="901"/>
      <c r="M57" s="901"/>
      <c r="N57" s="902"/>
      <c r="O57" s="901"/>
      <c r="P57" s="902"/>
      <c r="Q57" s="902"/>
      <c r="R57" s="901"/>
      <c r="S57" s="901"/>
      <c r="T57" s="902"/>
      <c r="U57" s="902"/>
      <c r="V57" s="902"/>
      <c r="W57" s="902"/>
      <c r="X57" s="902"/>
      <c r="Y57" s="902">
        <f t="shared" si="4"/>
        <v>0</v>
      </c>
      <c r="Z57" s="902"/>
      <c r="AA57" s="906">
        <f t="shared" si="5"/>
        <v>0</v>
      </c>
    </row>
    <row r="58" spans="1:27" x14ac:dyDescent="0.3">
      <c r="A58" s="329" t="s">
        <v>0</v>
      </c>
      <c r="B58" s="901"/>
      <c r="C58" s="901"/>
      <c r="D58" s="901"/>
      <c r="E58" s="901"/>
      <c r="F58" s="902"/>
      <c r="G58" s="901"/>
      <c r="H58" s="901"/>
      <c r="I58" s="901"/>
      <c r="J58" s="901"/>
      <c r="K58" s="901"/>
      <c r="L58" s="901"/>
      <c r="M58" s="901"/>
      <c r="N58" s="902"/>
      <c r="O58" s="901"/>
      <c r="P58" s="902"/>
      <c r="Q58" s="902"/>
      <c r="R58" s="901"/>
      <c r="S58" s="901"/>
      <c r="T58" s="902"/>
      <c r="U58" s="902"/>
      <c r="V58" s="902"/>
      <c r="W58" s="902"/>
      <c r="X58" s="902"/>
      <c r="Y58" s="902">
        <f t="shared" si="4"/>
        <v>0</v>
      </c>
      <c r="Z58" s="902"/>
      <c r="AA58" s="906">
        <f t="shared" si="5"/>
        <v>0</v>
      </c>
    </row>
    <row r="59" spans="1:27" x14ac:dyDescent="0.3">
      <c r="A59" s="451" t="s">
        <v>316</v>
      </c>
      <c r="B59" s="901">
        <v>1579713</v>
      </c>
      <c r="C59" s="901"/>
      <c r="D59" s="901">
        <v>15038</v>
      </c>
      <c r="E59" s="901">
        <v>58596</v>
      </c>
      <c r="F59" s="902"/>
      <c r="G59" s="901"/>
      <c r="H59" s="901"/>
      <c r="I59" s="901"/>
      <c r="J59" s="901">
        <v>28972</v>
      </c>
      <c r="K59" s="901"/>
      <c r="L59" s="901">
        <v>7248536</v>
      </c>
      <c r="M59" s="901"/>
      <c r="N59" s="902"/>
      <c r="O59" s="901"/>
      <c r="P59" s="902">
        <v>714954</v>
      </c>
      <c r="Q59" s="902"/>
      <c r="R59" s="901"/>
      <c r="S59" s="901">
        <v>470930</v>
      </c>
      <c r="T59" s="902"/>
      <c r="U59" s="902"/>
      <c r="V59" s="902"/>
      <c r="W59" s="902"/>
      <c r="X59" s="902"/>
      <c r="Y59" s="902">
        <f t="shared" si="4"/>
        <v>10116739</v>
      </c>
      <c r="Z59" s="902">
        <v>2004</v>
      </c>
      <c r="AA59" s="906">
        <f t="shared" si="5"/>
        <v>10118743</v>
      </c>
    </row>
    <row r="60" spans="1:27" x14ac:dyDescent="0.3">
      <c r="A60" s="451" t="s">
        <v>317</v>
      </c>
      <c r="B60" s="901">
        <v>20612</v>
      </c>
      <c r="C60" s="901"/>
      <c r="D60" s="901">
        <v>8854</v>
      </c>
      <c r="E60" s="901">
        <v>450</v>
      </c>
      <c r="F60" s="902"/>
      <c r="G60" s="901"/>
      <c r="H60" s="901">
        <v>3594</v>
      </c>
      <c r="I60" s="901"/>
      <c r="J60" s="901"/>
      <c r="K60" s="901"/>
      <c r="L60" s="901">
        <v>7734</v>
      </c>
      <c r="M60" s="901">
        <f>1066+37971+8930</f>
        <v>47967</v>
      </c>
      <c r="N60" s="902"/>
      <c r="O60" s="901"/>
      <c r="P60" s="902">
        <v>4281</v>
      </c>
      <c r="Q60" s="902"/>
      <c r="R60" s="901">
        <v>69108</v>
      </c>
      <c r="S60" s="901">
        <v>16256</v>
      </c>
      <c r="T60" s="902"/>
      <c r="U60" s="902">
        <v>10681</v>
      </c>
      <c r="V60" s="902"/>
      <c r="W60" s="902">
        <v>7600</v>
      </c>
      <c r="X60" s="902">
        <v>18027</v>
      </c>
      <c r="Y60" s="902">
        <f t="shared" si="4"/>
        <v>215164</v>
      </c>
      <c r="Z60" s="902">
        <v>138819</v>
      </c>
      <c r="AA60" s="906">
        <f t="shared" si="5"/>
        <v>353983</v>
      </c>
    </row>
    <row r="61" spans="1:27" x14ac:dyDescent="0.3">
      <c r="A61" s="451" t="s">
        <v>318</v>
      </c>
      <c r="B61" s="901"/>
      <c r="C61" s="901"/>
      <c r="D61" s="901"/>
      <c r="E61" s="901"/>
      <c r="F61" s="902"/>
      <c r="G61" s="901"/>
      <c r="H61" s="901"/>
      <c r="I61" s="901"/>
      <c r="J61" s="901"/>
      <c r="K61" s="901"/>
      <c r="L61" s="901"/>
      <c r="M61" s="901"/>
      <c r="N61" s="902"/>
      <c r="O61" s="901"/>
      <c r="P61" s="902"/>
      <c r="Q61" s="902"/>
      <c r="R61" s="901"/>
      <c r="S61" s="901"/>
      <c r="T61" s="902"/>
      <c r="U61" s="902"/>
      <c r="V61" s="902"/>
      <c r="W61" s="902"/>
      <c r="X61" s="902"/>
      <c r="Y61" s="902">
        <f t="shared" si="4"/>
        <v>0</v>
      </c>
      <c r="Z61" s="902"/>
      <c r="AA61" s="906">
        <f t="shared" si="5"/>
        <v>0</v>
      </c>
    </row>
    <row r="62" spans="1:27" x14ac:dyDescent="0.3">
      <c r="A62" s="451" t="s">
        <v>319</v>
      </c>
      <c r="B62" s="901"/>
      <c r="C62" s="901">
        <v>2500</v>
      </c>
      <c r="D62" s="901"/>
      <c r="E62" s="901">
        <v>775232</v>
      </c>
      <c r="F62" s="902"/>
      <c r="G62" s="901"/>
      <c r="H62" s="901"/>
      <c r="I62" s="901"/>
      <c r="J62" s="901"/>
      <c r="K62" s="901"/>
      <c r="L62" s="901">
        <v>3384</v>
      </c>
      <c r="M62" s="901"/>
      <c r="N62" s="902"/>
      <c r="O62" s="901"/>
      <c r="P62" s="902">
        <v>4358</v>
      </c>
      <c r="Q62" s="902"/>
      <c r="R62" s="901">
        <v>2500</v>
      </c>
      <c r="S62" s="901">
        <v>924</v>
      </c>
      <c r="T62" s="902"/>
      <c r="U62" s="902"/>
      <c r="V62" s="902"/>
      <c r="W62" s="902"/>
      <c r="X62" s="902">
        <v>8960</v>
      </c>
      <c r="Y62" s="902">
        <f t="shared" si="4"/>
        <v>797858</v>
      </c>
      <c r="Z62" s="902"/>
      <c r="AA62" s="906">
        <f t="shared" si="5"/>
        <v>797858</v>
      </c>
    </row>
    <row r="63" spans="1:27" x14ac:dyDescent="0.3">
      <c r="A63" s="451" t="s">
        <v>320</v>
      </c>
      <c r="B63" s="901"/>
      <c r="C63" s="901">
        <v>94724</v>
      </c>
      <c r="D63" s="901"/>
      <c r="E63" s="901"/>
      <c r="F63" s="902"/>
      <c r="G63" s="901">
        <v>1925</v>
      </c>
      <c r="H63" s="901">
        <v>40316</v>
      </c>
      <c r="I63" s="901">
        <v>183242</v>
      </c>
      <c r="J63" s="901">
        <v>2997954</v>
      </c>
      <c r="K63" s="901">
        <v>49425</v>
      </c>
      <c r="L63" s="901">
        <v>1015960</v>
      </c>
      <c r="M63" s="901">
        <v>1536996</v>
      </c>
      <c r="N63" s="902">
        <v>324404</v>
      </c>
      <c r="O63" s="901">
        <v>284729</v>
      </c>
      <c r="P63" s="902">
        <v>3306177</v>
      </c>
      <c r="Q63" s="902"/>
      <c r="R63" s="901">
        <v>1566348</v>
      </c>
      <c r="S63" s="901">
        <v>1499442</v>
      </c>
      <c r="T63" s="902"/>
      <c r="U63" s="902"/>
      <c r="V63" s="902">
        <v>490870</v>
      </c>
      <c r="W63" s="902">
        <v>101459</v>
      </c>
      <c r="X63" s="902"/>
      <c r="Y63" s="902">
        <f t="shared" si="4"/>
        <v>13493971</v>
      </c>
      <c r="Z63" s="902">
        <v>230570251</v>
      </c>
      <c r="AA63" s="906">
        <f t="shared" si="5"/>
        <v>244064222</v>
      </c>
    </row>
    <row r="64" spans="1:27" x14ac:dyDescent="0.3">
      <c r="A64" s="451" t="s">
        <v>321</v>
      </c>
      <c r="B64" s="901"/>
      <c r="C64" s="901"/>
      <c r="D64" s="901"/>
      <c r="E64" s="901"/>
      <c r="F64" s="902"/>
      <c r="G64" s="901">
        <v>731758</v>
      </c>
      <c r="H64" s="901"/>
      <c r="I64" s="901"/>
      <c r="J64" s="901"/>
      <c r="K64" s="901"/>
      <c r="L64" s="901"/>
      <c r="M64" s="901"/>
      <c r="N64" s="902"/>
      <c r="O64" s="901"/>
      <c r="P64" s="902"/>
      <c r="Q64" s="902"/>
      <c r="R64" s="901"/>
      <c r="S64" s="901"/>
      <c r="T64" s="902"/>
      <c r="U64" s="902"/>
      <c r="V64" s="902"/>
      <c r="W64" s="902"/>
      <c r="X64" s="902"/>
      <c r="Y64" s="902">
        <f t="shared" si="4"/>
        <v>731758</v>
      </c>
      <c r="Z64" s="902"/>
      <c r="AA64" s="906">
        <f t="shared" si="5"/>
        <v>731758</v>
      </c>
    </row>
    <row r="65" spans="1:27" x14ac:dyDescent="0.3">
      <c r="A65" s="451" t="s">
        <v>322</v>
      </c>
      <c r="B65" s="901"/>
      <c r="C65" s="901">
        <v>49027</v>
      </c>
      <c r="D65" s="901">
        <v>243338</v>
      </c>
      <c r="E65" s="901">
        <v>415126</v>
      </c>
      <c r="F65" s="902"/>
      <c r="G65" s="901">
        <v>91034</v>
      </c>
      <c r="H65" s="901"/>
      <c r="I65" s="901"/>
      <c r="J65" s="901"/>
      <c r="K65" s="901">
        <v>3774</v>
      </c>
      <c r="L65" s="901"/>
      <c r="M65" s="901">
        <f>89959+308096</f>
        <v>398055</v>
      </c>
      <c r="N65" s="902">
        <v>97768</v>
      </c>
      <c r="O65" s="901"/>
      <c r="P65" s="902"/>
      <c r="Q65" s="902"/>
      <c r="R65" s="901">
        <v>328378</v>
      </c>
      <c r="S65" s="901"/>
      <c r="T65" s="902"/>
      <c r="U65" s="902"/>
      <c r="V65" s="902"/>
      <c r="W65" s="902">
        <v>127688</v>
      </c>
      <c r="X65" s="902"/>
      <c r="Y65" s="902">
        <f t="shared" si="4"/>
        <v>1754188</v>
      </c>
      <c r="Z65" s="902"/>
      <c r="AA65" s="906">
        <f t="shared" si="5"/>
        <v>1754188</v>
      </c>
    </row>
    <row r="66" spans="1:27" x14ac:dyDescent="0.3">
      <c r="A66" s="451" t="s">
        <v>77</v>
      </c>
      <c r="B66" s="901">
        <v>2388763</v>
      </c>
      <c r="C66" s="901">
        <v>1928</v>
      </c>
      <c r="D66" s="901">
        <v>2373</v>
      </c>
      <c r="E66" s="901">
        <f>41098+15984</f>
        <v>57082</v>
      </c>
      <c r="F66" s="902"/>
      <c r="G66" s="901"/>
      <c r="H66" s="901">
        <f>8115+69972</f>
        <v>78087</v>
      </c>
      <c r="I66" s="901">
        <v>7621</v>
      </c>
      <c r="J66" s="901">
        <f>197616+467658</f>
        <v>665274</v>
      </c>
      <c r="K66" s="901"/>
      <c r="L66" s="901">
        <v>44676</v>
      </c>
      <c r="M66" s="901">
        <v>48166</v>
      </c>
      <c r="N66" s="902"/>
      <c r="O66" s="901">
        <v>304539</v>
      </c>
      <c r="P66" s="902">
        <f>107186+4689</f>
        <v>111875</v>
      </c>
      <c r="Q66" s="902"/>
      <c r="R66" s="901">
        <v>782</v>
      </c>
      <c r="S66" s="901">
        <f>448031+7268</f>
        <v>455299</v>
      </c>
      <c r="T66" s="902"/>
      <c r="U66" s="902">
        <f>825365+3649485+45</f>
        <v>4474895</v>
      </c>
      <c r="V66" s="902">
        <v>46056</v>
      </c>
      <c r="W66" s="902">
        <v>18025</v>
      </c>
      <c r="X66" s="902">
        <f>1154+42279+97962+1308</f>
        <v>142703</v>
      </c>
      <c r="Y66" s="902">
        <f t="shared" si="4"/>
        <v>8848144</v>
      </c>
      <c r="Z66" s="902">
        <f>2581624+329311+352351</f>
        <v>3263286</v>
      </c>
      <c r="AA66" s="906">
        <f t="shared" si="5"/>
        <v>12111430</v>
      </c>
    </row>
    <row r="67" spans="1:27" s="913" customFormat="1" thickBot="1" x14ac:dyDescent="0.3">
      <c r="A67" s="914" t="s">
        <v>56</v>
      </c>
      <c r="B67" s="915">
        <f>SUM(B59:B66)</f>
        <v>3989088</v>
      </c>
      <c r="C67" s="915">
        <v>148179</v>
      </c>
      <c r="D67" s="915">
        <f t="shared" ref="D67:X67" si="12">SUM(D59:D66)</f>
        <v>269603</v>
      </c>
      <c r="E67" s="915">
        <f t="shared" si="12"/>
        <v>1306486</v>
      </c>
      <c r="F67" s="915">
        <f t="shared" si="12"/>
        <v>0</v>
      </c>
      <c r="G67" s="915">
        <f t="shared" si="12"/>
        <v>824717</v>
      </c>
      <c r="H67" s="915">
        <f t="shared" si="12"/>
        <v>121997</v>
      </c>
      <c r="I67" s="915">
        <f t="shared" si="12"/>
        <v>190863</v>
      </c>
      <c r="J67" s="915">
        <f t="shared" si="12"/>
        <v>3692200</v>
      </c>
      <c r="K67" s="915">
        <f t="shared" si="12"/>
        <v>53199</v>
      </c>
      <c r="L67" s="915">
        <f t="shared" si="12"/>
        <v>8320290</v>
      </c>
      <c r="M67" s="915">
        <f t="shared" si="12"/>
        <v>2031184</v>
      </c>
      <c r="N67" s="915">
        <f t="shared" si="12"/>
        <v>422172</v>
      </c>
      <c r="O67" s="915">
        <f t="shared" si="12"/>
        <v>589268</v>
      </c>
      <c r="P67" s="915">
        <f t="shared" si="12"/>
        <v>4141645</v>
      </c>
      <c r="Q67" s="915">
        <f t="shared" si="12"/>
        <v>0</v>
      </c>
      <c r="R67" s="915">
        <f t="shared" si="12"/>
        <v>1967116</v>
      </c>
      <c r="S67" s="915">
        <f t="shared" si="12"/>
        <v>2442851</v>
      </c>
      <c r="T67" s="915">
        <f t="shared" si="12"/>
        <v>0</v>
      </c>
      <c r="U67" s="915">
        <f t="shared" si="12"/>
        <v>4485576</v>
      </c>
      <c r="V67" s="915">
        <f t="shared" si="12"/>
        <v>536926</v>
      </c>
      <c r="W67" s="915">
        <f t="shared" si="12"/>
        <v>254772</v>
      </c>
      <c r="X67" s="915">
        <f t="shared" si="12"/>
        <v>169690</v>
      </c>
      <c r="Y67" s="916">
        <f t="shared" si="4"/>
        <v>35957822</v>
      </c>
      <c r="Z67" s="916">
        <f>SUM(Z59:Z66)</f>
        <v>233974360</v>
      </c>
      <c r="AA67" s="914">
        <f t="shared" si="5"/>
        <v>269932182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4"/>
  <sheetViews>
    <sheetView workbookViewId="0">
      <pane xSplit="1" topLeftCell="B1" activePane="topRight" state="frozen"/>
      <selection pane="topRight" activeCell="H16" sqref="H16"/>
    </sheetView>
    <sheetView workbookViewId="1">
      <selection sqref="A1:AZ1"/>
    </sheetView>
  </sheetViews>
  <sheetFormatPr defaultRowHeight="15" x14ac:dyDescent="0.25"/>
  <cols>
    <col min="1" max="1" width="30.42578125" bestFit="1" customWidth="1"/>
    <col min="2" max="2" width="11.7109375" bestFit="1" customWidth="1"/>
    <col min="3" max="3" width="12.85546875" bestFit="1" customWidth="1"/>
    <col min="4" max="4" width="11.7109375" bestFit="1" customWidth="1"/>
    <col min="5" max="5" width="12.85546875" bestFit="1" customWidth="1"/>
    <col min="6" max="6" width="11.7109375" bestFit="1" customWidth="1"/>
    <col min="7" max="7" width="12.85546875" bestFit="1" customWidth="1"/>
    <col min="8" max="8" width="11.7109375" bestFit="1" customWidth="1"/>
    <col min="9" max="9" width="12.85546875" bestFit="1" customWidth="1"/>
    <col min="10" max="10" width="11.7109375" bestFit="1" customWidth="1"/>
    <col min="11" max="11" width="12.85546875" bestFit="1" customWidth="1"/>
    <col min="12" max="12" width="11.7109375" bestFit="1" customWidth="1"/>
    <col min="13" max="13" width="12.85546875" bestFit="1" customWidth="1"/>
    <col min="14" max="14" width="11.7109375" bestFit="1" customWidth="1"/>
    <col min="15" max="15" width="12.85546875" bestFit="1" customWidth="1"/>
    <col min="16" max="16" width="11.7109375" bestFit="1" customWidth="1"/>
    <col min="17" max="17" width="12.85546875" bestFit="1" customWidth="1"/>
    <col min="18" max="18" width="11.7109375" bestFit="1" customWidth="1"/>
    <col min="19" max="19" width="12.85546875" bestFit="1" customWidth="1"/>
    <col min="20" max="20" width="11.7109375" bestFit="1" customWidth="1"/>
    <col min="21" max="21" width="12.85546875" bestFit="1" customWidth="1"/>
    <col min="22" max="22" width="11.7109375" bestFit="1" customWidth="1"/>
    <col min="23" max="23" width="12.85546875" bestFit="1" customWidth="1"/>
    <col min="24" max="24" width="11.7109375" bestFit="1" customWidth="1"/>
    <col min="25" max="25" width="12.85546875" bestFit="1" customWidth="1"/>
    <col min="26" max="26" width="11.7109375" bestFit="1" customWidth="1"/>
    <col min="27" max="27" width="12.85546875" bestFit="1" customWidth="1"/>
    <col min="28" max="28" width="11.7109375" bestFit="1" customWidth="1"/>
    <col min="29" max="29" width="12.85546875" bestFit="1" customWidth="1"/>
    <col min="30" max="30" width="11.7109375" bestFit="1" customWidth="1"/>
    <col min="31" max="31" width="12.85546875" bestFit="1" customWidth="1"/>
    <col min="32" max="32" width="11.7109375" bestFit="1" customWidth="1"/>
    <col min="33" max="33" width="12.85546875" bestFit="1" customWidth="1"/>
    <col min="34" max="34" width="11.7109375" bestFit="1" customWidth="1"/>
    <col min="35" max="35" width="12.85546875" bestFit="1" customWidth="1"/>
    <col min="36" max="36" width="11.7109375" bestFit="1" customWidth="1"/>
    <col min="37" max="37" width="12.85546875" bestFit="1" customWidth="1"/>
    <col min="38" max="38" width="11.7109375" bestFit="1" customWidth="1"/>
    <col min="39" max="39" width="12.85546875" bestFit="1" customWidth="1"/>
    <col min="40" max="40" width="11.7109375" bestFit="1" customWidth="1"/>
    <col min="41" max="41" width="12.85546875" bestFit="1" customWidth="1"/>
    <col min="42" max="42" width="11.7109375" bestFit="1" customWidth="1"/>
    <col min="43" max="43" width="12.85546875" bestFit="1" customWidth="1"/>
    <col min="44" max="44" width="11.7109375" bestFit="1" customWidth="1"/>
    <col min="45" max="45" width="12.85546875" bestFit="1" customWidth="1"/>
    <col min="46" max="46" width="11.7109375" bestFit="1" customWidth="1"/>
    <col min="47" max="47" width="12.85546875" bestFit="1" customWidth="1"/>
    <col min="48" max="48" width="11.7109375" bestFit="1" customWidth="1"/>
    <col min="49" max="49" width="12.85546875" bestFit="1" customWidth="1"/>
    <col min="50" max="50" width="11.7109375" bestFit="1" customWidth="1"/>
    <col min="51" max="51" width="12.85546875" bestFit="1" customWidth="1"/>
    <col min="52" max="52" width="11.7109375" bestFit="1" customWidth="1"/>
    <col min="53" max="53" width="12.85546875" bestFit="1" customWidth="1"/>
  </cols>
  <sheetData>
    <row r="1" spans="1:53" s="107" customFormat="1" ht="18" x14ac:dyDescent="0.35">
      <c r="A1" s="931" t="s">
        <v>60</v>
      </c>
      <c r="B1" s="931"/>
      <c r="C1" s="931"/>
      <c r="D1" s="931"/>
      <c r="E1" s="931"/>
      <c r="F1" s="931"/>
      <c r="G1" s="931"/>
      <c r="H1" s="931"/>
      <c r="I1" s="931"/>
      <c r="J1" s="931"/>
      <c r="K1" s="931"/>
      <c r="L1" s="931"/>
      <c r="M1" s="931"/>
      <c r="N1" s="931"/>
      <c r="O1" s="931"/>
      <c r="P1" s="931"/>
      <c r="Q1" s="931"/>
      <c r="R1" s="931"/>
      <c r="S1" s="931"/>
      <c r="T1" s="931"/>
      <c r="U1" s="931"/>
      <c r="V1" s="931"/>
      <c r="W1" s="931"/>
      <c r="X1" s="931"/>
      <c r="Y1" s="931"/>
      <c r="Z1" s="931"/>
      <c r="AA1" s="931"/>
      <c r="AB1" s="931"/>
      <c r="AC1" s="931"/>
      <c r="AD1" s="931"/>
      <c r="AE1" s="931"/>
      <c r="AF1" s="931"/>
      <c r="AG1" s="931"/>
      <c r="AH1" s="931"/>
      <c r="AI1" s="931"/>
      <c r="AJ1" s="931"/>
      <c r="AK1" s="931"/>
      <c r="AL1" s="931"/>
      <c r="AM1" s="931"/>
      <c r="AN1" s="931"/>
      <c r="AO1" s="931"/>
      <c r="AP1" s="931"/>
      <c r="AQ1" s="931"/>
      <c r="AR1" s="931"/>
      <c r="AS1" s="931"/>
      <c r="AT1" s="931"/>
      <c r="AU1" s="931"/>
      <c r="AV1" s="931"/>
      <c r="AW1" s="931"/>
      <c r="AX1" s="931"/>
      <c r="AY1" s="931"/>
      <c r="AZ1" s="931"/>
    </row>
    <row r="2" spans="1:53" s="514" customFormat="1" ht="18" thickBot="1" x14ac:dyDescent="0.4">
      <c r="A2" s="944" t="s">
        <v>61</v>
      </c>
      <c r="B2" s="944"/>
      <c r="C2" s="944"/>
      <c r="D2" s="944"/>
      <c r="E2" s="944"/>
      <c r="F2" s="944"/>
      <c r="G2" s="944"/>
      <c r="H2" s="944"/>
      <c r="I2" s="944"/>
      <c r="J2" s="944"/>
      <c r="K2" s="944"/>
      <c r="L2" s="944"/>
      <c r="M2" s="944"/>
      <c r="N2" s="944"/>
      <c r="O2" s="944"/>
      <c r="P2" s="944"/>
      <c r="Q2" s="944"/>
      <c r="R2" s="944"/>
      <c r="S2" s="944"/>
      <c r="T2" s="944"/>
      <c r="U2" s="944"/>
      <c r="V2" s="944"/>
      <c r="W2" s="944"/>
      <c r="X2" s="944"/>
      <c r="Y2" s="944"/>
      <c r="Z2" s="944"/>
      <c r="AA2" s="944"/>
      <c r="AB2" s="944"/>
      <c r="AC2" s="944"/>
      <c r="AD2" s="944"/>
      <c r="AE2" s="944"/>
      <c r="AF2" s="944"/>
      <c r="AG2" s="944"/>
      <c r="AH2" s="944"/>
      <c r="AI2" s="944"/>
      <c r="AJ2" s="944"/>
      <c r="AK2" s="944"/>
      <c r="AL2" s="944"/>
      <c r="AM2" s="944"/>
      <c r="AN2" s="944"/>
      <c r="AO2" s="944"/>
      <c r="AP2" s="944"/>
      <c r="AQ2" s="944"/>
      <c r="AR2" s="944"/>
      <c r="AS2" s="944"/>
      <c r="AT2" s="944"/>
      <c r="AU2" s="944"/>
      <c r="AV2" s="944"/>
      <c r="AW2" s="944"/>
      <c r="AX2" s="944"/>
      <c r="AY2" s="944"/>
      <c r="AZ2" s="944"/>
    </row>
    <row r="3" spans="1:53" s="107" customFormat="1" ht="33.75" customHeight="1" x14ac:dyDescent="0.3">
      <c r="A3" s="945" t="s">
        <v>0</v>
      </c>
      <c r="B3" s="952" t="s">
        <v>155</v>
      </c>
      <c r="C3" s="953"/>
      <c r="D3" s="949" t="s">
        <v>156</v>
      </c>
      <c r="E3" s="950"/>
      <c r="F3" s="951" t="s">
        <v>157</v>
      </c>
      <c r="G3" s="950"/>
      <c r="H3" s="949" t="s">
        <v>158</v>
      </c>
      <c r="I3" s="950"/>
      <c r="J3" s="949" t="s">
        <v>159</v>
      </c>
      <c r="K3" s="951"/>
      <c r="L3" s="949" t="s">
        <v>160</v>
      </c>
      <c r="M3" s="950"/>
      <c r="N3" s="949" t="s">
        <v>161</v>
      </c>
      <c r="O3" s="950"/>
      <c r="P3" s="949" t="s">
        <v>162</v>
      </c>
      <c r="Q3" s="950"/>
      <c r="R3" s="949" t="s">
        <v>163</v>
      </c>
      <c r="S3" s="950"/>
      <c r="T3" s="949" t="s">
        <v>164</v>
      </c>
      <c r="U3" s="950"/>
      <c r="V3" s="949" t="s">
        <v>165</v>
      </c>
      <c r="W3" s="950"/>
      <c r="X3" s="949" t="s">
        <v>166</v>
      </c>
      <c r="Y3" s="950"/>
      <c r="Z3" s="949" t="s">
        <v>167</v>
      </c>
      <c r="AA3" s="950"/>
      <c r="AB3" s="949" t="s">
        <v>168</v>
      </c>
      <c r="AC3" s="950"/>
      <c r="AD3" s="947" t="s">
        <v>169</v>
      </c>
      <c r="AE3" s="948"/>
      <c r="AF3" s="949" t="s">
        <v>170</v>
      </c>
      <c r="AG3" s="950"/>
      <c r="AH3" s="949" t="s">
        <v>171</v>
      </c>
      <c r="AI3" s="950"/>
      <c r="AJ3" s="949" t="s">
        <v>172</v>
      </c>
      <c r="AK3" s="951"/>
      <c r="AL3" s="947" t="s">
        <v>173</v>
      </c>
      <c r="AM3" s="948"/>
      <c r="AN3" s="951" t="s">
        <v>174</v>
      </c>
      <c r="AO3" s="950"/>
      <c r="AP3" s="949" t="s">
        <v>175</v>
      </c>
      <c r="AQ3" s="951"/>
      <c r="AR3" s="949" t="s">
        <v>176</v>
      </c>
      <c r="AS3" s="950"/>
      <c r="AT3" s="951" t="s">
        <v>177</v>
      </c>
      <c r="AU3" s="950"/>
      <c r="AV3" s="949" t="s">
        <v>1</v>
      </c>
      <c r="AW3" s="950"/>
      <c r="AX3" s="947" t="s">
        <v>178</v>
      </c>
      <c r="AY3" s="948"/>
      <c r="AZ3" s="947" t="s">
        <v>2</v>
      </c>
      <c r="BA3" s="948"/>
    </row>
    <row r="4" spans="1:53" s="517" customFormat="1" ht="15.75" thickBot="1" x14ac:dyDescent="0.3">
      <c r="A4" s="946"/>
      <c r="B4" s="516" t="s">
        <v>180</v>
      </c>
      <c r="C4" s="513" t="s">
        <v>181</v>
      </c>
      <c r="D4" s="515" t="s">
        <v>180</v>
      </c>
      <c r="E4" s="513" t="s">
        <v>181</v>
      </c>
      <c r="F4" s="516" t="s">
        <v>180</v>
      </c>
      <c r="G4" s="513" t="s">
        <v>181</v>
      </c>
      <c r="H4" s="516" t="s">
        <v>180</v>
      </c>
      <c r="I4" s="513" t="s">
        <v>181</v>
      </c>
      <c r="J4" s="516" t="s">
        <v>180</v>
      </c>
      <c r="K4" s="516" t="s">
        <v>181</v>
      </c>
      <c r="L4" s="515" t="s">
        <v>180</v>
      </c>
      <c r="M4" s="513" t="s">
        <v>181</v>
      </c>
      <c r="N4" s="516" t="s">
        <v>180</v>
      </c>
      <c r="O4" s="513" t="s">
        <v>181</v>
      </c>
      <c r="P4" s="516" t="s">
        <v>180</v>
      </c>
      <c r="Q4" s="513" t="s">
        <v>181</v>
      </c>
      <c r="R4" s="516" t="s">
        <v>180</v>
      </c>
      <c r="S4" s="513" t="s">
        <v>181</v>
      </c>
      <c r="T4" s="516" t="s">
        <v>180</v>
      </c>
      <c r="U4" s="513" t="s">
        <v>181</v>
      </c>
      <c r="V4" s="516" t="s">
        <v>180</v>
      </c>
      <c r="W4" s="513" t="s">
        <v>181</v>
      </c>
      <c r="X4" s="498" t="s">
        <v>180</v>
      </c>
      <c r="Y4" s="499" t="s">
        <v>181</v>
      </c>
      <c r="Z4" s="498" t="s">
        <v>180</v>
      </c>
      <c r="AA4" s="499" t="s">
        <v>181</v>
      </c>
      <c r="AB4" s="516" t="s">
        <v>180</v>
      </c>
      <c r="AC4" s="513" t="s">
        <v>181</v>
      </c>
      <c r="AD4" s="516" t="s">
        <v>180</v>
      </c>
      <c r="AE4" s="513" t="s">
        <v>181</v>
      </c>
      <c r="AF4" s="498" t="s">
        <v>180</v>
      </c>
      <c r="AG4" s="499" t="s">
        <v>181</v>
      </c>
      <c r="AH4" s="498" t="s">
        <v>180</v>
      </c>
      <c r="AI4" s="499" t="s">
        <v>181</v>
      </c>
      <c r="AJ4" s="516" t="s">
        <v>180</v>
      </c>
      <c r="AK4" s="516" t="s">
        <v>181</v>
      </c>
      <c r="AL4" s="497" t="s">
        <v>180</v>
      </c>
      <c r="AM4" s="499" t="s">
        <v>181</v>
      </c>
      <c r="AN4" s="498" t="s">
        <v>180</v>
      </c>
      <c r="AO4" s="499" t="s">
        <v>181</v>
      </c>
      <c r="AP4" s="516" t="s">
        <v>180</v>
      </c>
      <c r="AQ4" s="516" t="s">
        <v>181</v>
      </c>
      <c r="AR4" s="497" t="s">
        <v>180</v>
      </c>
      <c r="AS4" s="499" t="s">
        <v>181</v>
      </c>
      <c r="AT4" s="498" t="s">
        <v>180</v>
      </c>
      <c r="AU4" s="499" t="s">
        <v>181</v>
      </c>
      <c r="AV4" s="516" t="s">
        <v>180</v>
      </c>
      <c r="AW4" s="513" t="s">
        <v>181</v>
      </c>
      <c r="AX4" s="516" t="s">
        <v>180</v>
      </c>
      <c r="AY4" s="513" t="s">
        <v>181</v>
      </c>
      <c r="AZ4" s="516" t="s">
        <v>180</v>
      </c>
      <c r="BA4" s="513" t="s">
        <v>181</v>
      </c>
    </row>
    <row r="5" spans="1:53" s="111" customFormat="1" ht="14.25" x14ac:dyDescent="0.25">
      <c r="A5" s="397" t="s">
        <v>23</v>
      </c>
      <c r="B5" s="187"/>
      <c r="C5" s="188"/>
      <c r="D5" s="186"/>
      <c r="E5" s="188"/>
      <c r="F5" s="189"/>
      <c r="G5" s="188"/>
      <c r="H5" s="187"/>
      <c r="I5" s="188"/>
      <c r="J5" s="187"/>
      <c r="K5" s="193"/>
      <c r="L5" s="186"/>
      <c r="M5" s="188"/>
      <c r="N5" s="187"/>
      <c r="O5" s="188"/>
      <c r="P5" s="187"/>
      <c r="Q5" s="188"/>
      <c r="R5" s="187"/>
      <c r="S5" s="188"/>
      <c r="T5" s="187"/>
      <c r="U5" s="188"/>
      <c r="V5" s="192"/>
      <c r="W5" s="195"/>
      <c r="X5" s="246"/>
      <c r="Y5" s="687"/>
      <c r="Z5" s="246"/>
      <c r="AA5" s="247"/>
      <c r="AB5" s="187"/>
      <c r="AC5" s="188"/>
      <c r="AD5" s="187"/>
      <c r="AE5" s="193"/>
      <c r="AF5" s="246"/>
      <c r="AG5" s="687"/>
      <c r="AH5" s="246"/>
      <c r="AI5" s="247"/>
      <c r="AJ5" s="187"/>
      <c r="AK5" s="193"/>
      <c r="AL5" s="245"/>
      <c r="AM5" s="247"/>
      <c r="AN5" s="854"/>
      <c r="AO5" s="247"/>
      <c r="AP5" s="187"/>
      <c r="AQ5" s="193"/>
      <c r="AR5" s="245"/>
      <c r="AS5" s="247"/>
      <c r="AT5" s="854"/>
      <c r="AU5" s="247"/>
      <c r="AV5" s="193"/>
      <c r="AW5" s="398"/>
      <c r="AX5" s="187"/>
      <c r="AY5" s="188"/>
      <c r="AZ5" s="187"/>
      <c r="BA5" s="399"/>
    </row>
    <row r="6" spans="1:53" s="111" customFormat="1" ht="14.25" x14ac:dyDescent="0.3">
      <c r="A6" s="108" t="s">
        <v>24</v>
      </c>
      <c r="B6" s="112"/>
      <c r="C6" s="113"/>
      <c r="D6" s="114"/>
      <c r="E6" s="116"/>
      <c r="F6" s="149"/>
      <c r="G6" s="116"/>
      <c r="H6" s="115"/>
      <c r="I6" s="116"/>
      <c r="J6" s="115"/>
      <c r="K6" s="117"/>
      <c r="L6" s="114"/>
      <c r="M6" s="116"/>
      <c r="N6" s="115"/>
      <c r="O6" s="116"/>
      <c r="P6" s="115"/>
      <c r="Q6" s="116"/>
      <c r="R6" s="115"/>
      <c r="S6" s="116"/>
      <c r="T6" s="115"/>
      <c r="U6" s="116"/>
      <c r="V6" s="119"/>
      <c r="W6" s="131"/>
      <c r="X6" s="115"/>
      <c r="Y6" s="117"/>
      <c r="Z6" s="121"/>
      <c r="AA6" s="122"/>
      <c r="AB6" s="115"/>
      <c r="AC6" s="116"/>
      <c r="AD6" s="115"/>
      <c r="AE6" s="117"/>
      <c r="AF6" s="115"/>
      <c r="AG6" s="117"/>
      <c r="AH6" s="115"/>
      <c r="AI6" s="116"/>
      <c r="AJ6" s="115"/>
      <c r="AK6" s="117"/>
      <c r="AL6" s="114"/>
      <c r="AM6" s="116"/>
      <c r="AN6" s="404"/>
      <c r="AO6" s="110"/>
      <c r="AP6" s="123"/>
      <c r="AQ6" s="692"/>
      <c r="AR6" s="694"/>
      <c r="AS6" s="125"/>
      <c r="AT6" s="149"/>
      <c r="AU6" s="116"/>
      <c r="AV6" s="126"/>
      <c r="AW6" s="127"/>
      <c r="AX6" s="124"/>
      <c r="AY6" s="125"/>
      <c r="AZ6" s="128"/>
      <c r="BA6" s="110"/>
    </row>
    <row r="7" spans="1:53" s="111" customFormat="1" ht="14.25" x14ac:dyDescent="0.3">
      <c r="A7" s="108" t="s">
        <v>25</v>
      </c>
      <c r="B7" s="129">
        <v>5125348</v>
      </c>
      <c r="C7" s="130">
        <v>12571914</v>
      </c>
      <c r="D7" s="118">
        <v>586440</v>
      </c>
      <c r="E7" s="120">
        <v>1355487</v>
      </c>
      <c r="F7" s="150">
        <v>1276603</v>
      </c>
      <c r="G7" s="120">
        <v>3068073</v>
      </c>
      <c r="H7" s="119">
        <v>4743015</v>
      </c>
      <c r="I7" s="120">
        <v>13963897</v>
      </c>
      <c r="J7" s="119">
        <v>1742427</v>
      </c>
      <c r="K7" s="131">
        <v>4360058</v>
      </c>
      <c r="L7" s="118">
        <v>2763460</v>
      </c>
      <c r="M7" s="120">
        <v>8217280</v>
      </c>
      <c r="N7" s="119">
        <v>1105329</v>
      </c>
      <c r="O7" s="120">
        <v>3217150</v>
      </c>
      <c r="P7" s="119">
        <v>1389259</v>
      </c>
      <c r="Q7" s="120">
        <v>2819890</v>
      </c>
      <c r="R7" s="119">
        <v>2609217</v>
      </c>
      <c r="S7" s="120">
        <v>7277944</v>
      </c>
      <c r="T7" s="119">
        <v>1981388</v>
      </c>
      <c r="U7" s="120">
        <v>5176034</v>
      </c>
      <c r="V7" s="119">
        <v>17356019</v>
      </c>
      <c r="W7" s="131">
        <v>47384564</v>
      </c>
      <c r="X7" s="119">
        <v>20213186</v>
      </c>
      <c r="Y7" s="131">
        <v>73561906</v>
      </c>
      <c r="Z7" s="135">
        <v>1361211</v>
      </c>
      <c r="AA7" s="136">
        <v>4165965</v>
      </c>
      <c r="AB7" s="115">
        <v>202.95</v>
      </c>
      <c r="AC7" s="116">
        <v>571.88</v>
      </c>
      <c r="AD7" s="119">
        <v>9632409</v>
      </c>
      <c r="AE7" s="131">
        <v>23146820</v>
      </c>
      <c r="AF7" s="119">
        <v>13386964</v>
      </c>
      <c r="AG7" s="131">
        <v>31915106</v>
      </c>
      <c r="AH7" s="119">
        <v>4600435</v>
      </c>
      <c r="AI7" s="120">
        <v>12611007</v>
      </c>
      <c r="AJ7" s="119">
        <v>2952212</v>
      </c>
      <c r="AK7" s="131">
        <v>8385919</v>
      </c>
      <c r="AL7" s="114"/>
      <c r="AM7" s="116"/>
      <c r="AN7" s="877">
        <v>25417534</v>
      </c>
      <c r="AO7" s="83">
        <v>81393627</v>
      </c>
      <c r="AP7" s="137">
        <v>1546809</v>
      </c>
      <c r="AQ7" s="151">
        <v>4816205</v>
      </c>
      <c r="AR7" s="138">
        <v>2030563</v>
      </c>
      <c r="AS7" s="140">
        <v>5845309</v>
      </c>
      <c r="AT7" s="150">
        <v>6350713</v>
      </c>
      <c r="AU7" s="120">
        <v>14817692</v>
      </c>
      <c r="AV7" s="141">
        <f t="shared" ref="AV7:AW10" si="0">SUM(B7+D7+F7+H7+J7+L7+N7+P7+R7+T7+V7+X7+Z7+AB7+AD7+AF7+AH7+AJ7+AL7+AN7+AP7+AR7+AT7)</f>
        <v>128170743.95</v>
      </c>
      <c r="AW7" s="142">
        <f t="shared" si="0"/>
        <v>370072418.88</v>
      </c>
      <c r="AX7" s="139">
        <v>99113385</v>
      </c>
      <c r="AY7" s="140">
        <v>281464035</v>
      </c>
      <c r="AZ7" s="141">
        <f t="shared" ref="AZ7:BA10" si="1">AV7+AX7</f>
        <v>227284128.94999999</v>
      </c>
      <c r="BA7" s="142">
        <f t="shared" si="1"/>
        <v>651536453.88</v>
      </c>
    </row>
    <row r="8" spans="1:53" s="111" customFormat="1" ht="14.25" x14ac:dyDescent="0.3">
      <c r="A8" s="108" t="s">
        <v>26</v>
      </c>
      <c r="B8" s="129">
        <v>11479558</v>
      </c>
      <c r="C8" s="130">
        <v>32402003</v>
      </c>
      <c r="D8" s="118">
        <v>1541846</v>
      </c>
      <c r="E8" s="120">
        <v>3841586</v>
      </c>
      <c r="F8" s="150">
        <v>3964219</v>
      </c>
      <c r="G8" s="120">
        <v>10186458</v>
      </c>
      <c r="H8" s="119">
        <v>12759711</v>
      </c>
      <c r="I8" s="120">
        <v>32872359</v>
      </c>
      <c r="J8" s="119">
        <v>3308369</v>
      </c>
      <c r="K8" s="131">
        <v>9535283</v>
      </c>
      <c r="L8" s="118">
        <v>5952044</v>
      </c>
      <c r="M8" s="120">
        <v>15533121</v>
      </c>
      <c r="N8" s="119">
        <v>1345721</v>
      </c>
      <c r="O8" s="120">
        <v>3887782</v>
      </c>
      <c r="P8" s="119">
        <v>1441931</v>
      </c>
      <c r="Q8" s="120">
        <v>2957976</v>
      </c>
      <c r="R8" s="119">
        <v>6634821</v>
      </c>
      <c r="S8" s="120">
        <v>17719858</v>
      </c>
      <c r="T8" s="119">
        <v>1820679</v>
      </c>
      <c r="U8" s="120">
        <v>4099441</v>
      </c>
      <c r="V8" s="119">
        <v>46721727</v>
      </c>
      <c r="W8" s="131">
        <v>122148040</v>
      </c>
      <c r="X8" s="119">
        <v>61476142</v>
      </c>
      <c r="Y8" s="131">
        <v>178570181</v>
      </c>
      <c r="Z8" s="135">
        <v>3739750</v>
      </c>
      <c r="AA8" s="136">
        <v>9502148</v>
      </c>
      <c r="AB8" s="115">
        <v>414.43</v>
      </c>
      <c r="AC8" s="116">
        <v>812.03</v>
      </c>
      <c r="AD8" s="119">
        <v>13743866</v>
      </c>
      <c r="AE8" s="131">
        <v>31944585</v>
      </c>
      <c r="AF8" s="119">
        <v>29380105</v>
      </c>
      <c r="AG8" s="131">
        <v>81523014</v>
      </c>
      <c r="AH8" s="119">
        <v>9533162</v>
      </c>
      <c r="AI8" s="120">
        <v>25264302</v>
      </c>
      <c r="AJ8" s="119">
        <v>10761495</v>
      </c>
      <c r="AK8" s="131">
        <v>31537511</v>
      </c>
      <c r="AL8" s="114"/>
      <c r="AM8" s="116"/>
      <c r="AN8" s="877">
        <v>55244414</v>
      </c>
      <c r="AO8" s="83">
        <v>143880515</v>
      </c>
      <c r="AP8" s="137">
        <v>2715207</v>
      </c>
      <c r="AQ8" s="151">
        <v>6867038</v>
      </c>
      <c r="AR8" s="138">
        <v>4457930</v>
      </c>
      <c r="AS8" s="140">
        <v>10822818</v>
      </c>
      <c r="AT8" s="150">
        <v>10526806</v>
      </c>
      <c r="AU8" s="120">
        <v>26745329</v>
      </c>
      <c r="AV8" s="141">
        <f t="shared" si="0"/>
        <v>298549917.43000001</v>
      </c>
      <c r="AW8" s="142">
        <f t="shared" si="0"/>
        <v>801842160.02999997</v>
      </c>
      <c r="AX8" s="139">
        <v>592860478</v>
      </c>
      <c r="AY8" s="140">
        <v>1835515096</v>
      </c>
      <c r="AZ8" s="141">
        <f t="shared" si="1"/>
        <v>891410395.43000007</v>
      </c>
      <c r="BA8" s="142">
        <f t="shared" si="1"/>
        <v>2637357256.0299997</v>
      </c>
    </row>
    <row r="9" spans="1:53" s="111" customFormat="1" ht="14.25" x14ac:dyDescent="0.3">
      <c r="A9" s="108" t="s">
        <v>27</v>
      </c>
      <c r="B9" s="129">
        <v>4513116</v>
      </c>
      <c r="C9" s="130">
        <v>14056116</v>
      </c>
      <c r="D9" s="118">
        <v>80419</v>
      </c>
      <c r="E9" s="120">
        <v>114994</v>
      </c>
      <c r="F9" s="150">
        <v>50765</v>
      </c>
      <c r="G9" s="120">
        <v>187633</v>
      </c>
      <c r="H9" s="119">
        <v>9197351</v>
      </c>
      <c r="I9" s="120">
        <v>28947490</v>
      </c>
      <c r="J9" s="119">
        <v>1148465</v>
      </c>
      <c r="K9" s="131">
        <v>2948573</v>
      </c>
      <c r="L9" s="118">
        <v>517981</v>
      </c>
      <c r="M9" s="120">
        <v>4060168</v>
      </c>
      <c r="N9" s="119">
        <v>3391398</v>
      </c>
      <c r="O9" s="120">
        <v>11339659</v>
      </c>
      <c r="P9" s="119">
        <v>272069</v>
      </c>
      <c r="Q9" s="120">
        <v>604730</v>
      </c>
      <c r="R9" s="119">
        <v>101958</v>
      </c>
      <c r="S9" s="120">
        <v>321064</v>
      </c>
      <c r="T9" s="119">
        <v>244786</v>
      </c>
      <c r="U9" s="120">
        <v>647458</v>
      </c>
      <c r="V9" s="119">
        <v>25486666</v>
      </c>
      <c r="W9" s="131">
        <v>66111529</v>
      </c>
      <c r="X9" s="119">
        <v>5599900</v>
      </c>
      <c r="Y9" s="131">
        <v>18555605</v>
      </c>
      <c r="Z9" s="135">
        <v>1401648</v>
      </c>
      <c r="AA9" s="136">
        <v>4164294</v>
      </c>
      <c r="AB9" s="115">
        <v>389.68</v>
      </c>
      <c r="AC9" s="116">
        <v>925.1</v>
      </c>
      <c r="AD9" s="119">
        <v>4411540</v>
      </c>
      <c r="AE9" s="131">
        <v>10895317</v>
      </c>
      <c r="AF9" s="119">
        <v>3717671</v>
      </c>
      <c r="AG9" s="131">
        <v>11570800</v>
      </c>
      <c r="AH9" s="119">
        <v>536020</v>
      </c>
      <c r="AI9" s="120">
        <v>1659799</v>
      </c>
      <c r="AJ9" s="119">
        <v>152086</v>
      </c>
      <c r="AK9" s="131">
        <v>770277</v>
      </c>
      <c r="AL9" s="114"/>
      <c r="AM9" s="116"/>
      <c r="AN9" s="877">
        <v>12238964</v>
      </c>
      <c r="AO9" s="83">
        <v>28267753</v>
      </c>
      <c r="AP9" s="137">
        <v>1127656</v>
      </c>
      <c r="AQ9" s="151">
        <v>3287124</v>
      </c>
      <c r="AR9" s="138">
        <v>363139</v>
      </c>
      <c r="AS9" s="140">
        <v>1161939</v>
      </c>
      <c r="AT9" s="150">
        <v>34195</v>
      </c>
      <c r="AU9" s="120">
        <v>66480</v>
      </c>
      <c r="AV9" s="141">
        <f t="shared" si="0"/>
        <v>74588182.680000007</v>
      </c>
      <c r="AW9" s="142">
        <f t="shared" si="0"/>
        <v>209739727.09999999</v>
      </c>
      <c r="AX9" s="139">
        <v>248946620</v>
      </c>
      <c r="AY9" s="140">
        <v>1065252925</v>
      </c>
      <c r="AZ9" s="141">
        <f t="shared" si="1"/>
        <v>323534802.68000001</v>
      </c>
      <c r="BA9" s="142">
        <f t="shared" si="1"/>
        <v>1274992652.0999999</v>
      </c>
    </row>
    <row r="10" spans="1:53" s="111" customFormat="1" ht="14.25" x14ac:dyDescent="0.3">
      <c r="A10" s="143" t="s">
        <v>28</v>
      </c>
      <c r="B10" s="144">
        <f t="shared" ref="B10:G10" si="2">SUM(B7:B9)</f>
        <v>21118022</v>
      </c>
      <c r="C10" s="401">
        <f t="shared" si="2"/>
        <v>59030033</v>
      </c>
      <c r="D10" s="109">
        <f t="shared" si="2"/>
        <v>2208705</v>
      </c>
      <c r="E10" s="401">
        <f t="shared" si="2"/>
        <v>5312067</v>
      </c>
      <c r="F10" s="144">
        <f t="shared" si="2"/>
        <v>5291587</v>
      </c>
      <c r="G10" s="401">
        <f t="shared" si="2"/>
        <v>13442164</v>
      </c>
      <c r="H10" s="144">
        <f t="shared" ref="H10:W10" si="3">SUM(H7:H9)</f>
        <v>26700077</v>
      </c>
      <c r="I10" s="401">
        <f t="shared" si="3"/>
        <v>75783746</v>
      </c>
      <c r="J10" s="144">
        <f t="shared" si="3"/>
        <v>6199261</v>
      </c>
      <c r="K10" s="518">
        <f t="shared" si="3"/>
        <v>16843914</v>
      </c>
      <c r="L10" s="109">
        <f t="shared" si="3"/>
        <v>9233485</v>
      </c>
      <c r="M10" s="401">
        <f t="shared" si="3"/>
        <v>27810569</v>
      </c>
      <c r="N10" s="144">
        <f t="shared" si="3"/>
        <v>5842448</v>
      </c>
      <c r="O10" s="401">
        <f t="shared" si="3"/>
        <v>18444591</v>
      </c>
      <c r="P10" s="144">
        <f t="shared" si="3"/>
        <v>3103259</v>
      </c>
      <c r="Q10" s="401">
        <f t="shared" si="3"/>
        <v>6382596</v>
      </c>
      <c r="R10" s="144">
        <f t="shared" si="3"/>
        <v>9345996</v>
      </c>
      <c r="S10" s="401">
        <f t="shared" si="3"/>
        <v>25318866</v>
      </c>
      <c r="T10" s="144">
        <f t="shared" si="3"/>
        <v>4046853</v>
      </c>
      <c r="U10" s="401">
        <f t="shared" si="3"/>
        <v>9922933</v>
      </c>
      <c r="V10" s="144">
        <f t="shared" si="3"/>
        <v>89564412</v>
      </c>
      <c r="W10" s="518">
        <f t="shared" si="3"/>
        <v>235644133</v>
      </c>
      <c r="X10" s="541">
        <f t="shared" ref="X10:AM10" si="4">SUM(X7:X9)</f>
        <v>87289228</v>
      </c>
      <c r="Y10" s="542">
        <f t="shared" si="4"/>
        <v>270687692</v>
      </c>
      <c r="Z10" s="541">
        <f t="shared" si="4"/>
        <v>6502609</v>
      </c>
      <c r="AA10" s="684">
        <f t="shared" si="4"/>
        <v>17832407</v>
      </c>
      <c r="AB10" s="362">
        <f t="shared" si="4"/>
        <v>1007.06</v>
      </c>
      <c r="AC10" s="402">
        <f t="shared" si="4"/>
        <v>2309.0099999999998</v>
      </c>
      <c r="AD10" s="144">
        <f t="shared" si="4"/>
        <v>27787815</v>
      </c>
      <c r="AE10" s="518">
        <f t="shared" si="4"/>
        <v>65986722</v>
      </c>
      <c r="AF10" s="541">
        <f t="shared" si="4"/>
        <v>46484740</v>
      </c>
      <c r="AG10" s="542">
        <f t="shared" si="4"/>
        <v>125008920</v>
      </c>
      <c r="AH10" s="541">
        <f t="shared" si="4"/>
        <v>14669617</v>
      </c>
      <c r="AI10" s="684">
        <f t="shared" si="4"/>
        <v>39535108</v>
      </c>
      <c r="AJ10" s="144">
        <f t="shared" si="4"/>
        <v>13865793</v>
      </c>
      <c r="AK10" s="518">
        <f t="shared" si="4"/>
        <v>40693707</v>
      </c>
      <c r="AL10" s="109">
        <f t="shared" si="4"/>
        <v>0</v>
      </c>
      <c r="AM10" s="684">
        <f t="shared" si="4"/>
        <v>0</v>
      </c>
      <c r="AN10" s="144">
        <f t="shared" ref="AN10:AU10" si="5">SUM(AN7:AN9)</f>
        <v>92900912</v>
      </c>
      <c r="AO10" s="684">
        <f t="shared" si="5"/>
        <v>253541895</v>
      </c>
      <c r="AP10" s="144">
        <f t="shared" si="5"/>
        <v>5389672</v>
      </c>
      <c r="AQ10" s="518">
        <f t="shared" si="5"/>
        <v>14970367</v>
      </c>
      <c r="AR10" s="109">
        <f t="shared" si="5"/>
        <v>6851632</v>
      </c>
      <c r="AS10" s="684">
        <f t="shared" si="5"/>
        <v>17830066</v>
      </c>
      <c r="AT10" s="144">
        <f t="shared" si="5"/>
        <v>16911714</v>
      </c>
      <c r="AU10" s="684">
        <f t="shared" si="5"/>
        <v>41629501</v>
      </c>
      <c r="AV10" s="141">
        <f t="shared" si="0"/>
        <v>501308844.06</v>
      </c>
      <c r="AW10" s="142">
        <f t="shared" si="0"/>
        <v>1381654306.01</v>
      </c>
      <c r="AX10" s="141">
        <f>SUM(AX7:AX9)</f>
        <v>940920483</v>
      </c>
      <c r="AY10" s="142">
        <f>SUM(AY7:AY9)</f>
        <v>3182232056</v>
      </c>
      <c r="AZ10" s="141">
        <f t="shared" si="1"/>
        <v>1442229327.0599999</v>
      </c>
      <c r="BA10" s="142">
        <f t="shared" si="1"/>
        <v>4563886362.0100002</v>
      </c>
    </row>
    <row r="11" spans="1:53" s="111" customFormat="1" ht="14.25" x14ac:dyDescent="0.3">
      <c r="A11" s="108" t="s">
        <v>29</v>
      </c>
      <c r="B11" s="129"/>
      <c r="C11" s="130"/>
      <c r="D11" s="118"/>
      <c r="E11" s="120"/>
      <c r="F11" s="150"/>
      <c r="G11" s="120"/>
      <c r="H11" s="119"/>
      <c r="I11" s="120"/>
      <c r="J11" s="119"/>
      <c r="K11" s="131"/>
      <c r="L11" s="118"/>
      <c r="M11" s="120"/>
      <c r="N11" s="119"/>
      <c r="O11" s="120"/>
      <c r="P11" s="119"/>
      <c r="Q11" s="120"/>
      <c r="R11" s="119"/>
      <c r="S11" s="120"/>
      <c r="T11" s="119"/>
      <c r="U11" s="120"/>
      <c r="V11" s="119"/>
      <c r="W11" s="131"/>
      <c r="X11" s="119"/>
      <c r="Y11" s="131"/>
      <c r="Z11" s="119"/>
      <c r="AA11" s="120"/>
      <c r="AB11" s="115"/>
      <c r="AC11" s="116"/>
      <c r="AD11" s="119"/>
      <c r="AE11" s="131"/>
      <c r="AF11" s="119"/>
      <c r="AG11" s="131"/>
      <c r="AH11" s="119"/>
      <c r="AI11" s="120"/>
      <c r="AJ11" s="119"/>
      <c r="AK11" s="131"/>
      <c r="AL11" s="114"/>
      <c r="AM11" s="116"/>
      <c r="AN11" s="404"/>
      <c r="AO11" s="110"/>
      <c r="AP11" s="137"/>
      <c r="AQ11" s="151"/>
      <c r="AR11" s="138"/>
      <c r="AS11" s="140"/>
      <c r="AT11" s="150"/>
      <c r="AU11" s="120"/>
      <c r="AV11" s="141"/>
      <c r="AW11" s="142"/>
      <c r="AX11" s="139"/>
      <c r="AY11" s="140"/>
      <c r="AZ11" s="141"/>
      <c r="BA11" s="142"/>
    </row>
    <row r="12" spans="1:53" s="111" customFormat="1" ht="14.25" x14ac:dyDescent="0.3">
      <c r="A12" s="108" t="s">
        <v>30</v>
      </c>
      <c r="B12" s="129">
        <f>B10</f>
        <v>21118022</v>
      </c>
      <c r="C12" s="130">
        <f>C10</f>
        <v>59030033</v>
      </c>
      <c r="D12" s="141">
        <f t="shared" ref="D12:W12" si="6">D10</f>
        <v>2208705</v>
      </c>
      <c r="E12" s="154">
        <f t="shared" si="6"/>
        <v>5312067</v>
      </c>
      <c r="F12" s="152">
        <f t="shared" si="6"/>
        <v>5291587</v>
      </c>
      <c r="G12" s="154">
        <f t="shared" si="6"/>
        <v>13442164</v>
      </c>
      <c r="H12" s="152">
        <f t="shared" si="6"/>
        <v>26700077</v>
      </c>
      <c r="I12" s="154">
        <f t="shared" si="6"/>
        <v>75783746</v>
      </c>
      <c r="J12" s="152">
        <f t="shared" si="6"/>
        <v>6199261</v>
      </c>
      <c r="K12" s="153">
        <f t="shared" si="6"/>
        <v>16843914</v>
      </c>
      <c r="L12" s="141">
        <f t="shared" si="6"/>
        <v>9233485</v>
      </c>
      <c r="M12" s="154">
        <f t="shared" si="6"/>
        <v>27810569</v>
      </c>
      <c r="N12" s="152">
        <f t="shared" si="6"/>
        <v>5842448</v>
      </c>
      <c r="O12" s="154">
        <f t="shared" si="6"/>
        <v>18444591</v>
      </c>
      <c r="P12" s="152">
        <f t="shared" si="6"/>
        <v>3103259</v>
      </c>
      <c r="Q12" s="154">
        <f t="shared" si="6"/>
        <v>6382596</v>
      </c>
      <c r="R12" s="152">
        <f t="shared" si="6"/>
        <v>9345996</v>
      </c>
      <c r="S12" s="154">
        <f t="shared" si="6"/>
        <v>25318866</v>
      </c>
      <c r="T12" s="152">
        <f t="shared" si="6"/>
        <v>4046853</v>
      </c>
      <c r="U12" s="154">
        <f t="shared" si="6"/>
        <v>9922933</v>
      </c>
      <c r="V12" s="152">
        <f t="shared" si="6"/>
        <v>89564412</v>
      </c>
      <c r="W12" s="153">
        <f t="shared" si="6"/>
        <v>235644133</v>
      </c>
      <c r="X12" s="119">
        <f t="shared" ref="X12:AC12" si="7">X10</f>
        <v>87289228</v>
      </c>
      <c r="Y12" s="131">
        <f t="shared" si="7"/>
        <v>270687692</v>
      </c>
      <c r="Z12" s="119">
        <f t="shared" si="7"/>
        <v>6502609</v>
      </c>
      <c r="AA12" s="120">
        <f t="shared" si="7"/>
        <v>17832407</v>
      </c>
      <c r="AB12" s="114">
        <f t="shared" si="7"/>
        <v>1007.06</v>
      </c>
      <c r="AC12" s="403">
        <f t="shared" si="7"/>
        <v>2309.0099999999998</v>
      </c>
      <c r="AD12" s="118">
        <f t="shared" ref="AD12:AI12" si="8">AD10</f>
        <v>27787815</v>
      </c>
      <c r="AE12" s="689">
        <f t="shared" si="8"/>
        <v>65986722</v>
      </c>
      <c r="AF12" s="119">
        <f t="shared" si="8"/>
        <v>46484740</v>
      </c>
      <c r="AG12" s="131">
        <f t="shared" si="8"/>
        <v>125008920</v>
      </c>
      <c r="AH12" s="119">
        <f t="shared" si="8"/>
        <v>14669617</v>
      </c>
      <c r="AI12" s="120">
        <f t="shared" si="8"/>
        <v>39535108</v>
      </c>
      <c r="AJ12" s="118">
        <f t="shared" ref="AJ12:AO12" si="9">AJ10</f>
        <v>13865793</v>
      </c>
      <c r="AK12" s="689">
        <f t="shared" si="9"/>
        <v>40693707</v>
      </c>
      <c r="AL12" s="118">
        <f t="shared" si="9"/>
        <v>0</v>
      </c>
      <c r="AM12" s="120">
        <f t="shared" si="9"/>
        <v>0</v>
      </c>
      <c r="AN12" s="877">
        <f t="shared" si="9"/>
        <v>92900912</v>
      </c>
      <c r="AO12" s="83">
        <f t="shared" si="9"/>
        <v>253541895</v>
      </c>
      <c r="AP12" s="137"/>
      <c r="AQ12" s="151"/>
      <c r="AR12" s="138">
        <f>AR10</f>
        <v>6851632</v>
      </c>
      <c r="AS12" s="140">
        <f>AS10</f>
        <v>17830066</v>
      </c>
      <c r="AT12" s="405">
        <f>AT10</f>
        <v>16911714</v>
      </c>
      <c r="AU12" s="140">
        <f>AU10</f>
        <v>41629501</v>
      </c>
      <c r="AV12" s="141">
        <f>SUM(B12+D12+F12+H12+J12+L12+N12+P12+R12+T12+V12+X12+Z12+AB12+AD12+AF12+AH12+AJ12+AL12+AN12+AP12+AR12+AT12)</f>
        <v>495919172.06</v>
      </c>
      <c r="AW12" s="142">
        <f>SUM(C12+E12+G12+I12+K12+M12+O12+Q12+S12+U12+W12+Y12+AA12+AC12+AE12+AG12+AI12+AK12+AM12+AO12+AQ12+AS12+AU12)</f>
        <v>1366683939.01</v>
      </c>
      <c r="AX12" s="139">
        <f>AX10</f>
        <v>940920483</v>
      </c>
      <c r="AY12" s="140">
        <f>AY10</f>
        <v>3182232056</v>
      </c>
      <c r="AZ12" s="141">
        <f>AV12+AX12</f>
        <v>1436839655.0599999</v>
      </c>
      <c r="BA12" s="142">
        <f>AW12+AY12</f>
        <v>4548915995.0100002</v>
      </c>
    </row>
    <row r="13" spans="1:53" s="111" customFormat="1" ht="14.25" x14ac:dyDescent="0.3">
      <c r="A13" s="108" t="s">
        <v>31</v>
      </c>
      <c r="B13" s="129"/>
      <c r="C13" s="130"/>
      <c r="D13" s="118"/>
      <c r="E13" s="120"/>
      <c r="F13" s="150"/>
      <c r="G13" s="120"/>
      <c r="H13" s="119"/>
      <c r="I13" s="120"/>
      <c r="J13" s="119"/>
      <c r="K13" s="131"/>
      <c r="L13" s="118"/>
      <c r="M13" s="120"/>
      <c r="N13" s="119"/>
      <c r="O13" s="120"/>
      <c r="P13" s="119"/>
      <c r="Q13" s="120"/>
      <c r="R13" s="119"/>
      <c r="S13" s="120"/>
      <c r="T13" s="119"/>
      <c r="U13" s="120"/>
      <c r="V13" s="119"/>
      <c r="W13" s="131"/>
      <c r="X13" s="119"/>
      <c r="Y13" s="131"/>
      <c r="Z13" s="119"/>
      <c r="AA13" s="120"/>
      <c r="AB13" s="115"/>
      <c r="AC13" s="116"/>
      <c r="AD13" s="119"/>
      <c r="AE13" s="131"/>
      <c r="AF13" s="119"/>
      <c r="AG13" s="131"/>
      <c r="AH13" s="119"/>
      <c r="AI13" s="120"/>
      <c r="AJ13" s="119"/>
      <c r="AK13" s="131"/>
      <c r="AL13" s="114"/>
      <c r="AM13" s="116"/>
      <c r="AN13" s="404"/>
      <c r="AO13" s="110"/>
      <c r="AP13" s="137"/>
      <c r="AQ13" s="151"/>
      <c r="AR13" s="138"/>
      <c r="AS13" s="140"/>
      <c r="AT13" s="150"/>
      <c r="AU13" s="120"/>
      <c r="AV13" s="141"/>
      <c r="AW13" s="142"/>
      <c r="AX13" s="139"/>
      <c r="AY13" s="140"/>
      <c r="AZ13" s="141"/>
      <c r="BA13" s="142"/>
    </row>
    <row r="14" spans="1:53" s="535" customFormat="1" thickBot="1" x14ac:dyDescent="0.35">
      <c r="A14" s="519" t="s">
        <v>28</v>
      </c>
      <c r="B14" s="521">
        <f>B10</f>
        <v>21118022</v>
      </c>
      <c r="C14" s="522">
        <f t="shared" ref="C14:W14" si="10">C10</f>
        <v>59030033</v>
      </c>
      <c r="D14" s="520">
        <f t="shared" si="10"/>
        <v>2208705</v>
      </c>
      <c r="E14" s="525">
        <f t="shared" si="10"/>
        <v>5312067</v>
      </c>
      <c r="F14" s="523">
        <f t="shared" si="10"/>
        <v>5291587</v>
      </c>
      <c r="G14" s="525">
        <f t="shared" si="10"/>
        <v>13442164</v>
      </c>
      <c r="H14" s="523">
        <f t="shared" si="10"/>
        <v>26700077</v>
      </c>
      <c r="I14" s="525">
        <f t="shared" si="10"/>
        <v>75783746</v>
      </c>
      <c r="J14" s="523">
        <f t="shared" si="10"/>
        <v>6199261</v>
      </c>
      <c r="K14" s="524">
        <f t="shared" si="10"/>
        <v>16843914</v>
      </c>
      <c r="L14" s="520">
        <f t="shared" si="10"/>
        <v>9233485</v>
      </c>
      <c r="M14" s="525">
        <f t="shared" si="10"/>
        <v>27810569</v>
      </c>
      <c r="N14" s="523">
        <f t="shared" si="10"/>
        <v>5842448</v>
      </c>
      <c r="O14" s="525">
        <f t="shared" si="10"/>
        <v>18444591</v>
      </c>
      <c r="P14" s="523">
        <f t="shared" si="10"/>
        <v>3103259</v>
      </c>
      <c r="Q14" s="525">
        <f t="shared" si="10"/>
        <v>6382596</v>
      </c>
      <c r="R14" s="523">
        <f t="shared" si="10"/>
        <v>9345996</v>
      </c>
      <c r="S14" s="525">
        <f t="shared" si="10"/>
        <v>25318866</v>
      </c>
      <c r="T14" s="523">
        <f t="shared" si="10"/>
        <v>4046853</v>
      </c>
      <c r="U14" s="525">
        <f t="shared" si="10"/>
        <v>9922933</v>
      </c>
      <c r="V14" s="523">
        <f t="shared" si="10"/>
        <v>89564412</v>
      </c>
      <c r="W14" s="524">
        <f t="shared" si="10"/>
        <v>235644133</v>
      </c>
      <c r="X14" s="685">
        <f t="shared" ref="X14:AC14" si="11">X10</f>
        <v>87289228</v>
      </c>
      <c r="Y14" s="688">
        <f t="shared" si="11"/>
        <v>270687692</v>
      </c>
      <c r="Z14" s="685">
        <f t="shared" si="11"/>
        <v>6502609</v>
      </c>
      <c r="AA14" s="686">
        <f t="shared" si="11"/>
        <v>17832407</v>
      </c>
      <c r="AB14" s="528">
        <f t="shared" si="11"/>
        <v>1007.06</v>
      </c>
      <c r="AC14" s="529">
        <f t="shared" si="11"/>
        <v>2309.0099999999998</v>
      </c>
      <c r="AD14" s="526">
        <f t="shared" ref="AD14:AI14" si="12">AD10</f>
        <v>27787815</v>
      </c>
      <c r="AE14" s="690">
        <f t="shared" si="12"/>
        <v>65986722</v>
      </c>
      <c r="AF14" s="685">
        <f t="shared" si="12"/>
        <v>46484740</v>
      </c>
      <c r="AG14" s="688">
        <f t="shared" si="12"/>
        <v>125008920</v>
      </c>
      <c r="AH14" s="685">
        <f t="shared" si="12"/>
        <v>14669617</v>
      </c>
      <c r="AI14" s="686">
        <f t="shared" si="12"/>
        <v>39535108</v>
      </c>
      <c r="AJ14" s="526">
        <f t="shared" ref="AJ14:AO14" si="13">AJ10</f>
        <v>13865793</v>
      </c>
      <c r="AK14" s="690">
        <f t="shared" si="13"/>
        <v>40693707</v>
      </c>
      <c r="AL14" s="526">
        <f t="shared" si="13"/>
        <v>0</v>
      </c>
      <c r="AM14" s="686">
        <f t="shared" si="13"/>
        <v>0</v>
      </c>
      <c r="AN14" s="878">
        <f t="shared" si="13"/>
        <v>92900912</v>
      </c>
      <c r="AO14" s="691">
        <f t="shared" si="13"/>
        <v>253541895</v>
      </c>
      <c r="AP14" s="530"/>
      <c r="AQ14" s="693"/>
      <c r="AR14" s="532">
        <f>AR10</f>
        <v>6851632</v>
      </c>
      <c r="AS14" s="534">
        <f>AS10</f>
        <v>17830066</v>
      </c>
      <c r="AT14" s="531">
        <f>AT10</f>
        <v>16911714</v>
      </c>
      <c r="AU14" s="534">
        <f>AU10</f>
        <v>41629501</v>
      </c>
      <c r="AV14" s="526">
        <f>SUM(B14+D14+F14+H14+J14+L14+N14+P14+R14+T14+V14+X14+Z14+AB14+AD14+AF14+AH14+AJ14+AL14+AN14+AP14+AR14+AT14)</f>
        <v>495919172.06</v>
      </c>
      <c r="AW14" s="527">
        <f>SUM(C14+E14+G14+I14+K14+M14+O14+Q14+S14+U14+W14+Y14+AA14+AC14+AE14+AG14+AI14+AK14+AM14+AO14+AQ14+AS14+AU14)</f>
        <v>1366683939.01</v>
      </c>
      <c r="AX14" s="533">
        <f>AX10</f>
        <v>940920483</v>
      </c>
      <c r="AY14" s="534">
        <f>AY10</f>
        <v>3182232056</v>
      </c>
      <c r="AZ14" s="526">
        <f>AV14+AX14</f>
        <v>1436839655.0599999</v>
      </c>
      <c r="BA14" s="527">
        <f>AW14+AY14</f>
        <v>4548915995.0100002</v>
      </c>
    </row>
  </sheetData>
  <mergeCells count="29">
    <mergeCell ref="AP3:AQ3"/>
    <mergeCell ref="Z3:AA3"/>
    <mergeCell ref="AB3:AC3"/>
    <mergeCell ref="AD3:AE3"/>
    <mergeCell ref="AF3:AG3"/>
    <mergeCell ref="AH3:AI3"/>
    <mergeCell ref="AJ3:AK3"/>
    <mergeCell ref="R3:S3"/>
    <mergeCell ref="T3:U3"/>
    <mergeCell ref="V3:W3"/>
    <mergeCell ref="AL3:AM3"/>
    <mergeCell ref="AN3:AO3"/>
    <mergeCell ref="X3:Y3"/>
    <mergeCell ref="F3:G3"/>
    <mergeCell ref="H3:I3"/>
    <mergeCell ref="J3:K3"/>
    <mergeCell ref="L3:M3"/>
    <mergeCell ref="N3:O3"/>
    <mergeCell ref="P3:Q3"/>
    <mergeCell ref="A1:AZ1"/>
    <mergeCell ref="A2:AZ2"/>
    <mergeCell ref="A3:A4"/>
    <mergeCell ref="AZ3:BA3"/>
    <mergeCell ref="AX3:AY3"/>
    <mergeCell ref="AV3:AW3"/>
    <mergeCell ref="AT3:AU3"/>
    <mergeCell ref="AR3:AS3"/>
    <mergeCell ref="B3:C3"/>
    <mergeCell ref="D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25"/>
  <sheetViews>
    <sheetView workbookViewId="0">
      <pane xSplit="1" topLeftCell="B1" activePane="topRight" state="frozen"/>
      <selection pane="topRight" activeCell="F10" sqref="F10"/>
    </sheetView>
    <sheetView workbookViewId="1">
      <selection sqref="A1:IV65536"/>
    </sheetView>
  </sheetViews>
  <sheetFormatPr defaultRowHeight="12.75" x14ac:dyDescent="0.25"/>
  <cols>
    <col min="1" max="1" width="37.42578125" style="197" bestFit="1" customWidth="1"/>
    <col min="2" max="2" width="11.7109375" style="197" bestFit="1" customWidth="1"/>
    <col min="3" max="3" width="12.85546875" style="197" bestFit="1" customWidth="1"/>
    <col min="4" max="4" width="11.7109375" style="197" bestFit="1" customWidth="1"/>
    <col min="5" max="5" width="12.85546875" style="197" bestFit="1" customWidth="1"/>
    <col min="6" max="6" width="11.7109375" style="197" bestFit="1" customWidth="1"/>
    <col min="7" max="7" width="12.85546875" style="197" bestFit="1" customWidth="1"/>
    <col min="8" max="8" width="11.7109375" style="197" bestFit="1" customWidth="1"/>
    <col min="9" max="9" width="12.85546875" style="197" bestFit="1" customWidth="1"/>
    <col min="10" max="10" width="11.7109375" style="197" bestFit="1" customWidth="1"/>
    <col min="11" max="11" width="12.85546875" style="197" bestFit="1" customWidth="1"/>
    <col min="12" max="12" width="11.7109375" style="197" bestFit="1" customWidth="1"/>
    <col min="13" max="13" width="12.85546875" style="197" bestFit="1" customWidth="1"/>
    <col min="14" max="14" width="11.7109375" style="197" bestFit="1" customWidth="1"/>
    <col min="15" max="15" width="12.85546875" style="197" bestFit="1" customWidth="1"/>
    <col min="16" max="16" width="11.7109375" style="197" bestFit="1" customWidth="1"/>
    <col min="17" max="17" width="12.85546875" style="197" bestFit="1" customWidth="1"/>
    <col min="18" max="18" width="11.7109375" style="197" bestFit="1" customWidth="1"/>
    <col min="19" max="19" width="12.85546875" style="197" bestFit="1" customWidth="1"/>
    <col min="20" max="20" width="11.7109375" style="197" bestFit="1" customWidth="1"/>
    <col min="21" max="21" width="12.85546875" style="197" bestFit="1" customWidth="1"/>
    <col min="22" max="22" width="11.7109375" style="197" bestFit="1" customWidth="1"/>
    <col min="23" max="23" width="12.85546875" style="197" bestFit="1" customWidth="1"/>
    <col min="24" max="24" width="11.7109375" style="197" bestFit="1" customWidth="1"/>
    <col min="25" max="25" width="12.85546875" style="197" bestFit="1" customWidth="1"/>
    <col min="26" max="26" width="11.7109375" style="197" bestFit="1" customWidth="1"/>
    <col min="27" max="27" width="12.85546875" style="197" bestFit="1" customWidth="1"/>
    <col min="28" max="28" width="11.7109375" style="197" bestFit="1" customWidth="1"/>
    <col min="29" max="29" width="12.140625" style="197" bestFit="1" customWidth="1"/>
    <col min="30" max="30" width="11.7109375" style="197" bestFit="1" customWidth="1"/>
    <col min="31" max="31" width="12.85546875" style="197" bestFit="1" customWidth="1"/>
    <col min="32" max="32" width="11.7109375" style="197" bestFit="1" customWidth="1"/>
    <col min="33" max="33" width="12.85546875" style="197" bestFit="1" customWidth="1"/>
    <col min="34" max="34" width="11.7109375" style="197" bestFit="1" customWidth="1"/>
    <col min="35" max="35" width="12.85546875" style="197" bestFit="1" customWidth="1"/>
    <col min="36" max="36" width="11.7109375" style="197" bestFit="1" customWidth="1"/>
    <col min="37" max="37" width="12.85546875" style="197" bestFit="1" customWidth="1"/>
    <col min="38" max="38" width="11.7109375" style="197" bestFit="1" customWidth="1"/>
    <col min="39" max="39" width="12.85546875" style="197" bestFit="1" customWidth="1"/>
    <col min="40" max="40" width="11.7109375" style="197" bestFit="1" customWidth="1"/>
    <col min="41" max="41" width="12.85546875" style="197" bestFit="1" customWidth="1"/>
    <col min="42" max="42" width="11.7109375" style="197" bestFit="1" customWidth="1"/>
    <col min="43" max="43" width="12.85546875" style="197" bestFit="1" customWidth="1"/>
    <col min="44" max="44" width="11.7109375" style="197" bestFit="1" customWidth="1"/>
    <col min="45" max="45" width="12.85546875" style="197" bestFit="1" customWidth="1"/>
    <col min="46" max="46" width="11.7109375" style="197" bestFit="1" customWidth="1"/>
    <col min="47" max="47" width="12.85546875" style="197" bestFit="1" customWidth="1"/>
    <col min="48" max="48" width="11.7109375" style="197" bestFit="1" customWidth="1"/>
    <col min="49" max="49" width="12.85546875" style="197" bestFit="1" customWidth="1"/>
    <col min="50" max="50" width="11.7109375" style="197" bestFit="1" customWidth="1"/>
    <col min="51" max="51" width="12.85546875" style="197" bestFit="1" customWidth="1"/>
    <col min="52" max="52" width="11.7109375" style="197" bestFit="1" customWidth="1"/>
    <col min="53" max="53" width="12.85546875" style="197" bestFit="1" customWidth="1"/>
    <col min="54" max="16384" width="9.140625" style="197"/>
  </cols>
  <sheetData>
    <row r="1" spans="1:53" s="241" customFormat="1" ht="14.25" x14ac:dyDescent="0.3">
      <c r="A1" s="938" t="s">
        <v>150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  <c r="P1" s="938"/>
      <c r="Q1" s="938"/>
      <c r="R1" s="938"/>
      <c r="S1" s="938"/>
      <c r="T1" s="938"/>
      <c r="U1" s="938"/>
      <c r="V1" s="938"/>
      <c r="W1" s="938"/>
      <c r="X1" s="938"/>
      <c r="Y1" s="938"/>
      <c r="Z1" s="938"/>
      <c r="AA1" s="938"/>
      <c r="AB1" s="938"/>
      <c r="AC1" s="938"/>
      <c r="AD1" s="938"/>
      <c r="AE1" s="938"/>
      <c r="AF1" s="938"/>
      <c r="AG1" s="938"/>
      <c r="AH1" s="938"/>
      <c r="AI1" s="938"/>
      <c r="AJ1" s="938"/>
      <c r="AK1" s="938"/>
      <c r="AL1" s="938"/>
      <c r="AM1" s="938"/>
      <c r="AN1" s="938"/>
      <c r="AO1" s="938"/>
      <c r="AP1" s="938"/>
      <c r="AQ1" s="938"/>
      <c r="AR1" s="938"/>
      <c r="AS1" s="938"/>
      <c r="AT1" s="938"/>
      <c r="AU1" s="938"/>
      <c r="AV1" s="938"/>
      <c r="AW1" s="938"/>
      <c r="AX1" s="938"/>
      <c r="AY1" s="938"/>
      <c r="AZ1" s="938"/>
    </row>
    <row r="2" spans="1:53" s="536" customFormat="1" ht="16.5" thickBot="1" x14ac:dyDescent="0.4">
      <c r="A2" s="954" t="s">
        <v>61</v>
      </c>
      <c r="B2" s="954"/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954"/>
      <c r="N2" s="954"/>
      <c r="O2" s="954"/>
      <c r="P2" s="954"/>
      <c r="Q2" s="954"/>
      <c r="R2" s="954"/>
      <c r="S2" s="954"/>
      <c r="T2" s="954"/>
      <c r="U2" s="954"/>
      <c r="V2" s="954"/>
      <c r="W2" s="954"/>
      <c r="X2" s="954"/>
      <c r="Y2" s="954"/>
      <c r="Z2" s="954"/>
      <c r="AA2" s="954"/>
      <c r="AB2" s="954"/>
      <c r="AC2" s="954"/>
      <c r="AD2" s="954"/>
      <c r="AE2" s="954"/>
      <c r="AF2" s="954"/>
      <c r="AG2" s="954"/>
      <c r="AH2" s="954"/>
      <c r="AI2" s="954"/>
      <c r="AJ2" s="954"/>
      <c r="AK2" s="954"/>
      <c r="AL2" s="954"/>
      <c r="AM2" s="954"/>
      <c r="AN2" s="954"/>
      <c r="AO2" s="954"/>
      <c r="AP2" s="954"/>
      <c r="AQ2" s="954"/>
      <c r="AR2" s="954"/>
      <c r="AS2" s="954"/>
      <c r="AT2" s="954"/>
      <c r="AU2" s="954"/>
      <c r="AV2" s="954"/>
      <c r="AW2" s="954"/>
      <c r="AX2" s="954"/>
      <c r="AY2" s="954"/>
      <c r="AZ2" s="954"/>
    </row>
    <row r="3" spans="1:53" ht="27" customHeight="1" thickBot="1" x14ac:dyDescent="0.3">
      <c r="A3" s="955" t="s">
        <v>0</v>
      </c>
      <c r="B3" s="962" t="s">
        <v>155</v>
      </c>
      <c r="C3" s="963"/>
      <c r="D3" s="957" t="s">
        <v>156</v>
      </c>
      <c r="E3" s="958"/>
      <c r="F3" s="961" t="s">
        <v>157</v>
      </c>
      <c r="G3" s="958"/>
      <c r="H3" s="957" t="s">
        <v>158</v>
      </c>
      <c r="I3" s="958"/>
      <c r="J3" s="957" t="s">
        <v>159</v>
      </c>
      <c r="K3" s="958"/>
      <c r="L3" s="957" t="s">
        <v>160</v>
      </c>
      <c r="M3" s="958"/>
      <c r="N3" s="961" t="s">
        <v>161</v>
      </c>
      <c r="O3" s="958"/>
      <c r="P3" s="961" t="s">
        <v>162</v>
      </c>
      <c r="Q3" s="958"/>
      <c r="R3" s="957" t="s">
        <v>163</v>
      </c>
      <c r="S3" s="958"/>
      <c r="T3" s="961" t="s">
        <v>164</v>
      </c>
      <c r="U3" s="958"/>
      <c r="V3" s="957" t="s">
        <v>165</v>
      </c>
      <c r="W3" s="958"/>
      <c r="X3" s="957" t="s">
        <v>166</v>
      </c>
      <c r="Y3" s="958"/>
      <c r="Z3" s="957" t="s">
        <v>167</v>
      </c>
      <c r="AA3" s="958"/>
      <c r="AB3" s="957" t="s">
        <v>168</v>
      </c>
      <c r="AC3" s="958"/>
      <c r="AD3" s="964" t="s">
        <v>169</v>
      </c>
      <c r="AE3" s="960"/>
      <c r="AF3" s="957" t="s">
        <v>170</v>
      </c>
      <c r="AG3" s="958"/>
      <c r="AH3" s="957" t="s">
        <v>171</v>
      </c>
      <c r="AI3" s="958"/>
      <c r="AJ3" s="957" t="s">
        <v>172</v>
      </c>
      <c r="AK3" s="958"/>
      <c r="AL3" s="959" t="s">
        <v>173</v>
      </c>
      <c r="AM3" s="960"/>
      <c r="AN3" s="957" t="s">
        <v>174</v>
      </c>
      <c r="AO3" s="958"/>
      <c r="AP3" s="957" t="s">
        <v>175</v>
      </c>
      <c r="AQ3" s="958"/>
      <c r="AR3" s="957" t="s">
        <v>176</v>
      </c>
      <c r="AS3" s="958"/>
      <c r="AT3" s="957" t="s">
        <v>177</v>
      </c>
      <c r="AU3" s="958"/>
      <c r="AV3" s="957" t="s">
        <v>1</v>
      </c>
      <c r="AW3" s="958"/>
      <c r="AX3" s="959" t="s">
        <v>178</v>
      </c>
      <c r="AY3" s="960"/>
      <c r="AZ3" s="959" t="s">
        <v>2</v>
      </c>
      <c r="BA3" s="960"/>
    </row>
    <row r="4" spans="1:53" s="536" customFormat="1" ht="14.25" thickBot="1" x14ac:dyDescent="0.3">
      <c r="A4" s="956"/>
      <c r="B4" s="507" t="s">
        <v>180</v>
      </c>
      <c r="C4" s="509" t="s">
        <v>181</v>
      </c>
      <c r="D4" s="508" t="s">
        <v>180</v>
      </c>
      <c r="E4" s="509" t="s">
        <v>181</v>
      </c>
      <c r="F4" s="508" t="s">
        <v>180</v>
      </c>
      <c r="G4" s="509" t="s">
        <v>181</v>
      </c>
      <c r="H4" s="508" t="s">
        <v>180</v>
      </c>
      <c r="I4" s="509" t="s">
        <v>181</v>
      </c>
      <c r="J4" s="508" t="s">
        <v>180</v>
      </c>
      <c r="K4" s="509" t="s">
        <v>181</v>
      </c>
      <c r="L4" s="508" t="s">
        <v>180</v>
      </c>
      <c r="M4" s="509" t="s">
        <v>181</v>
      </c>
      <c r="N4" s="508" t="s">
        <v>180</v>
      </c>
      <c r="O4" s="509" t="s">
        <v>181</v>
      </c>
      <c r="P4" s="508" t="s">
        <v>180</v>
      </c>
      <c r="Q4" s="509" t="s">
        <v>181</v>
      </c>
      <c r="R4" s="508" t="s">
        <v>180</v>
      </c>
      <c r="S4" s="509" t="s">
        <v>181</v>
      </c>
      <c r="T4" s="508" t="s">
        <v>180</v>
      </c>
      <c r="U4" s="509" t="s">
        <v>181</v>
      </c>
      <c r="V4" s="508" t="s">
        <v>180</v>
      </c>
      <c r="W4" s="509" t="s">
        <v>181</v>
      </c>
      <c r="X4" s="508" t="s">
        <v>180</v>
      </c>
      <c r="Y4" s="509" t="s">
        <v>181</v>
      </c>
      <c r="Z4" s="508" t="s">
        <v>180</v>
      </c>
      <c r="AA4" s="509" t="s">
        <v>181</v>
      </c>
      <c r="AB4" s="508" t="s">
        <v>180</v>
      </c>
      <c r="AC4" s="509" t="s">
        <v>182</v>
      </c>
      <c r="AD4" s="508" t="s">
        <v>180</v>
      </c>
      <c r="AE4" s="509" t="s">
        <v>181</v>
      </c>
      <c r="AF4" s="508" t="s">
        <v>180</v>
      </c>
      <c r="AG4" s="509" t="s">
        <v>181</v>
      </c>
      <c r="AH4" s="508" t="s">
        <v>180</v>
      </c>
      <c r="AI4" s="509" t="s">
        <v>181</v>
      </c>
      <c r="AJ4" s="508" t="s">
        <v>180</v>
      </c>
      <c r="AK4" s="509" t="s">
        <v>181</v>
      </c>
      <c r="AL4" s="508" t="s">
        <v>180</v>
      </c>
      <c r="AM4" s="509" t="s">
        <v>181</v>
      </c>
      <c r="AN4" s="508" t="s">
        <v>180</v>
      </c>
      <c r="AO4" s="509" t="s">
        <v>181</v>
      </c>
      <c r="AP4" s="508" t="s">
        <v>180</v>
      </c>
      <c r="AQ4" s="509" t="s">
        <v>181</v>
      </c>
      <c r="AR4" s="508" t="s">
        <v>180</v>
      </c>
      <c r="AS4" s="509" t="s">
        <v>181</v>
      </c>
      <c r="AT4" s="508" t="s">
        <v>180</v>
      </c>
      <c r="AU4" s="509" t="s">
        <v>181</v>
      </c>
      <c r="AV4" s="508" t="s">
        <v>180</v>
      </c>
      <c r="AW4" s="509" t="s">
        <v>181</v>
      </c>
      <c r="AX4" s="508" t="s">
        <v>180</v>
      </c>
      <c r="AY4" s="509" t="s">
        <v>181</v>
      </c>
      <c r="AZ4" s="508" t="s">
        <v>180</v>
      </c>
      <c r="BA4" s="509" t="s">
        <v>181</v>
      </c>
    </row>
    <row r="5" spans="1:53" s="182" customFormat="1" ht="14.25" x14ac:dyDescent="0.25">
      <c r="A5" s="396" t="s">
        <v>62</v>
      </c>
      <c r="B5" s="194"/>
      <c r="C5" s="190"/>
      <c r="D5" s="191"/>
      <c r="E5" s="190"/>
      <c r="F5" s="192"/>
      <c r="G5" s="190"/>
      <c r="H5" s="191"/>
      <c r="I5" s="190"/>
      <c r="J5" s="191"/>
      <c r="K5" s="190"/>
      <c r="L5" s="191"/>
      <c r="M5" s="190"/>
      <c r="N5" s="192"/>
      <c r="O5" s="190"/>
      <c r="P5" s="192"/>
      <c r="Q5" s="190"/>
      <c r="R5" s="191"/>
      <c r="S5" s="190"/>
      <c r="T5" s="192"/>
      <c r="U5" s="190"/>
      <c r="V5" s="191"/>
      <c r="W5" s="190"/>
      <c r="X5" s="191"/>
      <c r="Y5" s="190"/>
      <c r="Z5" s="191"/>
      <c r="AA5" s="190"/>
      <c r="AB5" s="191"/>
      <c r="AC5" s="190"/>
      <c r="AD5" s="192"/>
      <c r="AE5" s="190"/>
      <c r="AF5" s="191"/>
      <c r="AG5" s="190"/>
      <c r="AH5" s="191"/>
      <c r="AI5" s="190"/>
      <c r="AJ5" s="191"/>
      <c r="AK5" s="190"/>
      <c r="AL5" s="191"/>
      <c r="AM5" s="190"/>
      <c r="AN5" s="191"/>
      <c r="AO5" s="190"/>
      <c r="AP5" s="191"/>
      <c r="AQ5" s="190"/>
      <c r="AR5" s="191"/>
      <c r="AS5" s="190"/>
      <c r="AT5" s="191"/>
      <c r="AU5" s="190"/>
      <c r="AV5" s="191"/>
      <c r="AW5" s="190"/>
      <c r="AX5" s="191"/>
      <c r="AY5" s="190"/>
      <c r="AZ5" s="191"/>
      <c r="BA5" s="196"/>
    </row>
    <row r="6" spans="1:53" s="182" customFormat="1" ht="14.25" x14ac:dyDescent="0.3">
      <c r="A6" s="198" t="s">
        <v>63</v>
      </c>
      <c r="B6" s="400">
        <v>667495</v>
      </c>
      <c r="C6" s="130">
        <v>1715260</v>
      </c>
      <c r="D6" s="150">
        <v>8752</v>
      </c>
      <c r="E6" s="120">
        <v>27494</v>
      </c>
      <c r="F6" s="119">
        <v>113360</v>
      </c>
      <c r="G6" s="120">
        <v>228766</v>
      </c>
      <c r="H6" s="150">
        <v>446829</v>
      </c>
      <c r="I6" s="120">
        <v>1245827</v>
      </c>
      <c r="J6" s="150">
        <v>353359</v>
      </c>
      <c r="K6" s="120">
        <v>891264</v>
      </c>
      <c r="L6" s="150">
        <v>329716</v>
      </c>
      <c r="M6" s="120">
        <v>1066603</v>
      </c>
      <c r="N6" s="119">
        <v>160227</v>
      </c>
      <c r="O6" s="120">
        <v>412505</v>
      </c>
      <c r="P6" s="119">
        <v>140306</v>
      </c>
      <c r="Q6" s="120">
        <v>304508</v>
      </c>
      <c r="R6" s="150">
        <v>382900</v>
      </c>
      <c r="S6" s="120">
        <v>1126785</v>
      </c>
      <c r="T6" s="119">
        <v>99198</v>
      </c>
      <c r="U6" s="120">
        <v>273595</v>
      </c>
      <c r="V6" s="150">
        <v>3253442</v>
      </c>
      <c r="W6" s="120">
        <v>8702299</v>
      </c>
      <c r="X6" s="537">
        <v>3178066</v>
      </c>
      <c r="Y6" s="120">
        <v>10244719</v>
      </c>
      <c r="Z6" s="538">
        <v>230673</v>
      </c>
      <c r="AA6" s="136">
        <v>731120</v>
      </c>
      <c r="AB6" s="150">
        <v>243686</v>
      </c>
      <c r="AC6" s="120">
        <v>700988</v>
      </c>
      <c r="AD6" s="119">
        <v>1241491</v>
      </c>
      <c r="AE6" s="120">
        <v>2788010</v>
      </c>
      <c r="AF6" s="150">
        <v>2624899</v>
      </c>
      <c r="AG6" s="120">
        <v>6432766</v>
      </c>
      <c r="AH6" s="150">
        <v>528760</v>
      </c>
      <c r="AI6" s="120">
        <v>1543092</v>
      </c>
      <c r="AJ6" s="150">
        <v>293626</v>
      </c>
      <c r="AK6" s="120">
        <v>929351</v>
      </c>
      <c r="AL6" s="150"/>
      <c r="AM6" s="120"/>
      <c r="AN6" s="858">
        <v>2169299</v>
      </c>
      <c r="AO6" s="252">
        <v>7045488</v>
      </c>
      <c r="AP6" s="248">
        <v>230720</v>
      </c>
      <c r="AQ6" s="861">
        <v>725995</v>
      </c>
      <c r="AR6" s="405">
        <v>339866</v>
      </c>
      <c r="AS6" s="140">
        <v>946170</v>
      </c>
      <c r="AT6" s="150">
        <v>1262896</v>
      </c>
      <c r="AU6" s="120">
        <v>2915485</v>
      </c>
      <c r="AV6" s="152">
        <f t="shared" ref="AV6:AV25" si="0">SUM(B6+D6+F6+H6+J6+L6+N6+P6+R6+T6+V6+X6+Z6+AB6+AD6+AF6+AH6+AJ6+AL6+AN6+AP6+AR6+AT6)</f>
        <v>18299566</v>
      </c>
      <c r="AW6" s="154">
        <f t="shared" ref="AW6:AW25" si="1">SUM(C6+E6+G6+I6+K6+M6+O6+Q6+S6+U6+W6+Y6+AA6+AC6+AE6+AG6+AI6+AK6+AM6+AO6+AQ6+AS6+AU6)</f>
        <v>50998090</v>
      </c>
      <c r="AX6" s="405">
        <v>30290550</v>
      </c>
      <c r="AY6" s="140">
        <v>82355240</v>
      </c>
      <c r="AZ6" s="152">
        <f t="shared" ref="AZ6:AZ25" si="2">AV6+AX6</f>
        <v>48590116</v>
      </c>
      <c r="BA6" s="142">
        <f t="shared" ref="BA6:BA25" si="3">AW6+AY6</f>
        <v>133353330</v>
      </c>
    </row>
    <row r="7" spans="1:53" s="182" customFormat="1" ht="14.25" x14ac:dyDescent="0.3">
      <c r="A7" s="198" t="s">
        <v>64</v>
      </c>
      <c r="B7" s="400">
        <v>340953</v>
      </c>
      <c r="C7" s="130">
        <v>942220</v>
      </c>
      <c r="D7" s="150">
        <v>13435</v>
      </c>
      <c r="E7" s="120">
        <v>28935</v>
      </c>
      <c r="F7" s="119">
        <v>58315</v>
      </c>
      <c r="G7" s="120">
        <v>136998</v>
      </c>
      <c r="H7" s="150">
        <v>262799</v>
      </c>
      <c r="I7" s="120">
        <v>665300</v>
      </c>
      <c r="J7" s="150">
        <v>105434</v>
      </c>
      <c r="K7" s="120">
        <v>322499</v>
      </c>
      <c r="L7" s="150">
        <v>80929</v>
      </c>
      <c r="M7" s="120">
        <v>181919</v>
      </c>
      <c r="N7" s="119">
        <v>27040</v>
      </c>
      <c r="O7" s="120">
        <v>73125</v>
      </c>
      <c r="P7" s="119">
        <v>44503</v>
      </c>
      <c r="Q7" s="120">
        <v>92589</v>
      </c>
      <c r="R7" s="150">
        <v>54645</v>
      </c>
      <c r="S7" s="120">
        <v>319917</v>
      </c>
      <c r="T7" s="119">
        <v>25286</v>
      </c>
      <c r="U7" s="120">
        <v>56873</v>
      </c>
      <c r="V7" s="150">
        <v>588156</v>
      </c>
      <c r="W7" s="120">
        <v>1549659</v>
      </c>
      <c r="X7" s="537">
        <v>1160633</v>
      </c>
      <c r="Y7" s="120">
        <v>3440574</v>
      </c>
      <c r="Z7" s="538">
        <v>68889</v>
      </c>
      <c r="AA7" s="136">
        <v>186532</v>
      </c>
      <c r="AB7" s="150">
        <v>947956</v>
      </c>
      <c r="AC7" s="120">
        <v>190949</v>
      </c>
      <c r="AD7" s="119">
        <v>346264</v>
      </c>
      <c r="AE7" s="120">
        <v>895730</v>
      </c>
      <c r="AF7" s="150">
        <v>913933</v>
      </c>
      <c r="AG7" s="120">
        <v>2481945</v>
      </c>
      <c r="AH7" s="150">
        <v>209245</v>
      </c>
      <c r="AI7" s="120">
        <v>550296</v>
      </c>
      <c r="AJ7" s="150">
        <v>226663</v>
      </c>
      <c r="AK7" s="120">
        <v>649196</v>
      </c>
      <c r="AL7" s="150"/>
      <c r="AM7" s="120"/>
      <c r="AN7" s="858">
        <v>1500502</v>
      </c>
      <c r="AO7" s="252">
        <v>3938435</v>
      </c>
      <c r="AP7" s="248">
        <v>79388</v>
      </c>
      <c r="AQ7" s="861">
        <v>195937</v>
      </c>
      <c r="AR7" s="405">
        <v>193504</v>
      </c>
      <c r="AS7" s="140">
        <v>450675</v>
      </c>
      <c r="AT7" s="150">
        <v>241659</v>
      </c>
      <c r="AU7" s="120">
        <v>588015</v>
      </c>
      <c r="AV7" s="152">
        <f t="shared" si="0"/>
        <v>7490131</v>
      </c>
      <c r="AW7" s="154">
        <f t="shared" si="1"/>
        <v>17938318</v>
      </c>
      <c r="AX7" s="405">
        <v>30605504</v>
      </c>
      <c r="AY7" s="140">
        <v>95114573</v>
      </c>
      <c r="AZ7" s="152">
        <f t="shared" si="2"/>
        <v>38095635</v>
      </c>
      <c r="BA7" s="142">
        <f t="shared" si="3"/>
        <v>113052891</v>
      </c>
    </row>
    <row r="8" spans="1:53" s="182" customFormat="1" ht="14.25" x14ac:dyDescent="0.3">
      <c r="A8" s="198" t="s">
        <v>65</v>
      </c>
      <c r="B8" s="400">
        <v>16347</v>
      </c>
      <c r="C8" s="130">
        <v>30694</v>
      </c>
      <c r="D8" s="150">
        <v>-537</v>
      </c>
      <c r="E8" s="120">
        <v>3</v>
      </c>
      <c r="F8" s="119">
        <v>68</v>
      </c>
      <c r="G8" s="120">
        <v>164</v>
      </c>
      <c r="H8" s="150">
        <v>77702</v>
      </c>
      <c r="I8" s="120">
        <v>123577</v>
      </c>
      <c r="J8" s="150">
        <v>4604</v>
      </c>
      <c r="K8" s="120">
        <v>5624</v>
      </c>
      <c r="L8" s="150">
        <v>5825</v>
      </c>
      <c r="M8" s="120">
        <v>15487</v>
      </c>
      <c r="N8" s="119">
        <v>119189</v>
      </c>
      <c r="O8" s="120">
        <v>220967</v>
      </c>
      <c r="P8" s="119">
        <v>1324</v>
      </c>
      <c r="Q8" s="120">
        <v>3088</v>
      </c>
      <c r="R8" s="150">
        <v>886</v>
      </c>
      <c r="S8" s="120">
        <v>3173</v>
      </c>
      <c r="T8" s="119">
        <v>101</v>
      </c>
      <c r="U8" s="120">
        <v>307</v>
      </c>
      <c r="V8" s="150">
        <v>245107</v>
      </c>
      <c r="W8" s="120">
        <v>497347</v>
      </c>
      <c r="X8" s="537">
        <v>127177</v>
      </c>
      <c r="Y8" s="120">
        <v>347443</v>
      </c>
      <c r="Z8" s="538">
        <v>29866</v>
      </c>
      <c r="AA8" s="136">
        <v>81627</v>
      </c>
      <c r="AB8" s="150">
        <v>19674</v>
      </c>
      <c r="AC8" s="120">
        <v>46634</v>
      </c>
      <c r="AD8" s="119">
        <v>61657</v>
      </c>
      <c r="AE8" s="120">
        <v>109666</v>
      </c>
      <c r="AF8" s="150">
        <v>4541</v>
      </c>
      <c r="AG8" s="120">
        <v>14042</v>
      </c>
      <c r="AH8" s="150">
        <v>17890</v>
      </c>
      <c r="AI8" s="120">
        <v>61372</v>
      </c>
      <c r="AJ8" s="150">
        <v>616</v>
      </c>
      <c r="AK8" s="120">
        <v>2215</v>
      </c>
      <c r="AL8" s="150"/>
      <c r="AM8" s="120"/>
      <c r="AN8" s="858">
        <v>89606</v>
      </c>
      <c r="AO8" s="252">
        <v>224785</v>
      </c>
      <c r="AP8" s="248">
        <v>6236</v>
      </c>
      <c r="AQ8" s="861">
        <v>7926</v>
      </c>
      <c r="AR8" s="405">
        <v>12244</v>
      </c>
      <c r="AS8" s="140">
        <v>29062</v>
      </c>
      <c r="AT8" s="150">
        <v>443</v>
      </c>
      <c r="AU8" s="120">
        <v>892</v>
      </c>
      <c r="AV8" s="152">
        <f t="shared" si="0"/>
        <v>840566</v>
      </c>
      <c r="AW8" s="154">
        <f t="shared" si="1"/>
        <v>1826095</v>
      </c>
      <c r="AX8" s="405">
        <v>1091860</v>
      </c>
      <c r="AY8" s="140">
        <v>5245467</v>
      </c>
      <c r="AZ8" s="152">
        <f t="shared" si="2"/>
        <v>1932426</v>
      </c>
      <c r="BA8" s="142">
        <f t="shared" si="3"/>
        <v>7071562</v>
      </c>
    </row>
    <row r="9" spans="1:53" s="540" customFormat="1" ht="14.25" x14ac:dyDescent="0.3">
      <c r="A9" s="199" t="s">
        <v>56</v>
      </c>
      <c r="B9" s="109">
        <f>SUM(B6:B8)</f>
        <v>1024795</v>
      </c>
      <c r="C9" s="544">
        <f>SUM(C6:C8)</f>
        <v>2688174</v>
      </c>
      <c r="D9" s="152">
        <f>SUM(D6:D8)</f>
        <v>21650</v>
      </c>
      <c r="E9" s="154">
        <f>SUM(E6:E8)</f>
        <v>56432</v>
      </c>
      <c r="F9" s="152">
        <f t="shared" ref="F9:M9" si="4">SUM(F6:F8)</f>
        <v>171743</v>
      </c>
      <c r="G9" s="154">
        <f t="shared" si="4"/>
        <v>365928</v>
      </c>
      <c r="H9" s="152">
        <f t="shared" si="4"/>
        <v>787330</v>
      </c>
      <c r="I9" s="154">
        <f t="shared" si="4"/>
        <v>2034704</v>
      </c>
      <c r="J9" s="152">
        <f t="shared" si="4"/>
        <v>463397</v>
      </c>
      <c r="K9" s="154">
        <f t="shared" si="4"/>
        <v>1219387</v>
      </c>
      <c r="L9" s="152">
        <f t="shared" si="4"/>
        <v>416470</v>
      </c>
      <c r="M9" s="154">
        <f t="shared" si="4"/>
        <v>1264009</v>
      </c>
      <c r="N9" s="152">
        <f t="shared" ref="N9:W9" si="5">SUM(N6:N8)</f>
        <v>306456</v>
      </c>
      <c r="O9" s="154">
        <f t="shared" si="5"/>
        <v>706597</v>
      </c>
      <c r="P9" s="152">
        <f t="shared" si="5"/>
        <v>186133</v>
      </c>
      <c r="Q9" s="154">
        <f t="shared" si="5"/>
        <v>400185</v>
      </c>
      <c r="R9" s="152">
        <f t="shared" si="5"/>
        <v>438431</v>
      </c>
      <c r="S9" s="154">
        <f t="shared" si="5"/>
        <v>1449875</v>
      </c>
      <c r="T9" s="152">
        <f t="shared" si="5"/>
        <v>124585</v>
      </c>
      <c r="U9" s="154">
        <f t="shared" si="5"/>
        <v>330775</v>
      </c>
      <c r="V9" s="152">
        <f t="shared" si="5"/>
        <v>4086705</v>
      </c>
      <c r="W9" s="154">
        <f t="shared" si="5"/>
        <v>10749305</v>
      </c>
      <c r="X9" s="152">
        <f>SUM(X6:X8)</f>
        <v>4465876</v>
      </c>
      <c r="Y9" s="154">
        <f t="shared" ref="Y9:AP9" si="6">SUM(Y6:Y8)</f>
        <v>14032736</v>
      </c>
      <c r="Z9" s="152">
        <f t="shared" si="6"/>
        <v>329428</v>
      </c>
      <c r="AA9" s="154">
        <f t="shared" si="6"/>
        <v>999279</v>
      </c>
      <c r="AB9" s="152">
        <f t="shared" si="6"/>
        <v>1211316</v>
      </c>
      <c r="AC9" s="154">
        <f t="shared" si="6"/>
        <v>938571</v>
      </c>
      <c r="AD9" s="152">
        <f t="shared" si="6"/>
        <v>1649412</v>
      </c>
      <c r="AE9" s="154">
        <f t="shared" si="6"/>
        <v>3793406</v>
      </c>
      <c r="AF9" s="152">
        <f t="shared" si="6"/>
        <v>3543373</v>
      </c>
      <c r="AG9" s="154">
        <f t="shared" si="6"/>
        <v>8928753</v>
      </c>
      <c r="AH9" s="152">
        <f t="shared" si="6"/>
        <v>755895</v>
      </c>
      <c r="AI9" s="154">
        <f t="shared" si="6"/>
        <v>2154760</v>
      </c>
      <c r="AJ9" s="152">
        <f t="shared" si="6"/>
        <v>520905</v>
      </c>
      <c r="AK9" s="154">
        <f t="shared" si="6"/>
        <v>1580762</v>
      </c>
      <c r="AL9" s="152">
        <f t="shared" si="6"/>
        <v>0</v>
      </c>
      <c r="AM9" s="154">
        <f t="shared" si="6"/>
        <v>0</v>
      </c>
      <c r="AN9" s="152">
        <f t="shared" si="6"/>
        <v>3759407</v>
      </c>
      <c r="AO9" s="154">
        <f t="shared" si="6"/>
        <v>11208708</v>
      </c>
      <c r="AP9" s="152">
        <f t="shared" si="6"/>
        <v>316344</v>
      </c>
      <c r="AQ9" s="870">
        <f>SUM(AQ6:AQ8)</f>
        <v>929858</v>
      </c>
      <c r="AR9" s="868">
        <f>SUM(AR6:AR8)</f>
        <v>545614</v>
      </c>
      <c r="AS9" s="870">
        <f>SUM(AS6:AS8)</f>
        <v>1425907</v>
      </c>
      <c r="AT9" s="868">
        <f>SUM(AT6:AT8)</f>
        <v>1504998</v>
      </c>
      <c r="AU9" s="870">
        <f>SUM(AU6:AU8)</f>
        <v>3504392</v>
      </c>
      <c r="AV9" s="152">
        <f t="shared" si="0"/>
        <v>26630263</v>
      </c>
      <c r="AW9" s="154">
        <f t="shared" si="1"/>
        <v>70762503</v>
      </c>
      <c r="AX9" s="539">
        <f>SUM(AX6:AX8)</f>
        <v>61987914</v>
      </c>
      <c r="AY9" s="874">
        <f>SUM(AY6:AY8)</f>
        <v>182715280</v>
      </c>
      <c r="AZ9" s="152">
        <f t="shared" si="2"/>
        <v>88618177</v>
      </c>
      <c r="BA9" s="142">
        <f t="shared" si="3"/>
        <v>253477783</v>
      </c>
    </row>
    <row r="10" spans="1:53" s="182" customFormat="1" ht="14.25" x14ac:dyDescent="0.3">
      <c r="A10" s="198" t="s">
        <v>66</v>
      </c>
      <c r="B10" s="109"/>
      <c r="C10" s="684"/>
      <c r="D10" s="152"/>
      <c r="E10" s="146"/>
      <c r="F10" s="145"/>
      <c r="G10" s="146"/>
      <c r="H10" s="152"/>
      <c r="I10" s="146"/>
      <c r="J10" s="152"/>
      <c r="K10" s="146"/>
      <c r="L10" s="152"/>
      <c r="M10" s="146"/>
      <c r="N10" s="145"/>
      <c r="O10" s="146"/>
      <c r="P10" s="145"/>
      <c r="Q10" s="146"/>
      <c r="R10" s="152"/>
      <c r="S10" s="146"/>
      <c r="T10" s="145"/>
      <c r="U10" s="146"/>
      <c r="V10" s="152"/>
      <c r="W10" s="146"/>
      <c r="X10" s="152"/>
      <c r="Y10" s="146"/>
      <c r="Z10" s="538"/>
      <c r="AA10" s="136"/>
      <c r="AB10" s="152"/>
      <c r="AC10" s="146"/>
      <c r="AD10" s="543"/>
      <c r="AE10" s="867"/>
      <c r="AF10" s="152"/>
      <c r="AG10" s="146"/>
      <c r="AH10" s="152"/>
      <c r="AI10" s="146"/>
      <c r="AJ10" s="152"/>
      <c r="AK10" s="146"/>
      <c r="AL10" s="150"/>
      <c r="AM10" s="120"/>
      <c r="AN10" s="150"/>
      <c r="AO10" s="120"/>
      <c r="AP10" s="248"/>
      <c r="AQ10" s="861"/>
      <c r="AR10" s="405"/>
      <c r="AS10" s="140"/>
      <c r="AT10" s="152"/>
      <c r="AU10" s="146"/>
      <c r="AV10" s="152">
        <f t="shared" si="0"/>
        <v>0</v>
      </c>
      <c r="AW10" s="154">
        <f t="shared" si="1"/>
        <v>0</v>
      </c>
      <c r="AX10" s="152"/>
      <c r="AY10" s="146"/>
      <c r="AZ10" s="152">
        <f t="shared" si="2"/>
        <v>0</v>
      </c>
      <c r="BA10" s="142">
        <f t="shared" si="3"/>
        <v>0</v>
      </c>
    </row>
    <row r="11" spans="1:53" s="182" customFormat="1" ht="14.25" x14ac:dyDescent="0.3">
      <c r="A11" s="198" t="s">
        <v>67</v>
      </c>
      <c r="B11" s="400"/>
      <c r="C11" s="130"/>
      <c r="D11" s="150"/>
      <c r="E11" s="120"/>
      <c r="F11" s="119"/>
      <c r="G11" s="120"/>
      <c r="H11" s="150">
        <v>-1473</v>
      </c>
      <c r="I11" s="120">
        <v>-5304</v>
      </c>
      <c r="J11" s="150"/>
      <c r="K11" s="120"/>
      <c r="L11" s="150"/>
      <c r="M11" s="120"/>
      <c r="N11" s="119"/>
      <c r="O11" s="120"/>
      <c r="P11" s="119"/>
      <c r="Q11" s="120"/>
      <c r="R11" s="150"/>
      <c r="S11" s="120"/>
      <c r="T11" s="119"/>
      <c r="U11" s="120"/>
      <c r="V11" s="150"/>
      <c r="W11" s="120"/>
      <c r="X11" s="150"/>
      <c r="Y11" s="120"/>
      <c r="Z11" s="150"/>
      <c r="AA11" s="120"/>
      <c r="AB11" s="150"/>
      <c r="AC11" s="120"/>
      <c r="AD11" s="119"/>
      <c r="AE11" s="120"/>
      <c r="AF11" s="150"/>
      <c r="AG11" s="120"/>
      <c r="AH11" s="150"/>
      <c r="AI11" s="120"/>
      <c r="AJ11" s="150"/>
      <c r="AK11" s="120"/>
      <c r="AL11" s="150"/>
      <c r="AM11" s="120"/>
      <c r="AN11" s="150"/>
      <c r="AO11" s="120"/>
      <c r="AP11" s="248"/>
      <c r="AQ11" s="861"/>
      <c r="AR11" s="405"/>
      <c r="AS11" s="140"/>
      <c r="AT11" s="150">
        <v>1621</v>
      </c>
      <c r="AU11" s="120">
        <v>-1203</v>
      </c>
      <c r="AV11" s="152">
        <f t="shared" si="0"/>
        <v>148</v>
      </c>
      <c r="AW11" s="154">
        <f t="shared" si="1"/>
        <v>-6507</v>
      </c>
      <c r="AX11" s="405">
        <v>-447093</v>
      </c>
      <c r="AY11" s="140">
        <v>-447093</v>
      </c>
      <c r="AZ11" s="152">
        <f t="shared" si="2"/>
        <v>-446945</v>
      </c>
      <c r="BA11" s="142">
        <f t="shared" si="3"/>
        <v>-453600</v>
      </c>
    </row>
    <row r="12" spans="1:53" s="540" customFormat="1" ht="14.25" x14ac:dyDescent="0.3">
      <c r="A12" s="199" t="s">
        <v>68</v>
      </c>
      <c r="B12" s="109">
        <f t="shared" ref="B12:AE12" si="7">B9</f>
        <v>1024795</v>
      </c>
      <c r="C12" s="544">
        <f t="shared" si="7"/>
        <v>2688174</v>
      </c>
      <c r="D12" s="144">
        <f t="shared" si="7"/>
        <v>21650</v>
      </c>
      <c r="E12" s="544">
        <f t="shared" si="7"/>
        <v>56432</v>
      </c>
      <c r="F12" s="109">
        <f t="shared" si="7"/>
        <v>171743</v>
      </c>
      <c r="G12" s="544">
        <f t="shared" si="7"/>
        <v>365928</v>
      </c>
      <c r="H12" s="144">
        <f>H9+H11</f>
        <v>785857</v>
      </c>
      <c r="I12" s="544">
        <f t="shared" si="7"/>
        <v>2034704</v>
      </c>
      <c r="J12" s="144">
        <f t="shared" si="7"/>
        <v>463397</v>
      </c>
      <c r="K12" s="544">
        <f t="shared" si="7"/>
        <v>1219387</v>
      </c>
      <c r="L12" s="144">
        <f t="shared" si="7"/>
        <v>416470</v>
      </c>
      <c r="M12" s="544">
        <f t="shared" si="7"/>
        <v>1264009</v>
      </c>
      <c r="N12" s="109">
        <f t="shared" si="7"/>
        <v>306456</v>
      </c>
      <c r="O12" s="544">
        <f t="shared" si="7"/>
        <v>706597</v>
      </c>
      <c r="P12" s="109">
        <f t="shared" si="7"/>
        <v>186133</v>
      </c>
      <c r="Q12" s="544">
        <f t="shared" si="7"/>
        <v>400185</v>
      </c>
      <c r="R12" s="144">
        <f t="shared" si="7"/>
        <v>438431</v>
      </c>
      <c r="S12" s="544">
        <f t="shared" si="7"/>
        <v>1449875</v>
      </c>
      <c r="T12" s="109">
        <f t="shared" si="7"/>
        <v>124585</v>
      </c>
      <c r="U12" s="544">
        <f t="shared" si="7"/>
        <v>330775</v>
      </c>
      <c r="V12" s="144">
        <f t="shared" si="7"/>
        <v>4086705</v>
      </c>
      <c r="W12" s="544">
        <f t="shared" si="7"/>
        <v>10749305</v>
      </c>
      <c r="X12" s="144">
        <f t="shared" si="7"/>
        <v>4465876</v>
      </c>
      <c r="Y12" s="544">
        <f t="shared" si="7"/>
        <v>14032736</v>
      </c>
      <c r="Z12" s="144">
        <f t="shared" si="7"/>
        <v>329428</v>
      </c>
      <c r="AA12" s="544">
        <f t="shared" si="7"/>
        <v>999279</v>
      </c>
      <c r="AB12" s="144">
        <f t="shared" si="7"/>
        <v>1211316</v>
      </c>
      <c r="AC12" s="544">
        <f t="shared" si="7"/>
        <v>938571</v>
      </c>
      <c r="AD12" s="109">
        <f t="shared" si="7"/>
        <v>1649412</v>
      </c>
      <c r="AE12" s="544">
        <f t="shared" si="7"/>
        <v>3793406</v>
      </c>
      <c r="AF12" s="152">
        <f>SUM(AF9:AF11)</f>
        <v>3543373</v>
      </c>
      <c r="AG12" s="154"/>
      <c r="AH12" s="152">
        <f>AH9</f>
        <v>755895</v>
      </c>
      <c r="AI12" s="142">
        <f>AI9</f>
        <v>2154760</v>
      </c>
      <c r="AJ12" s="152"/>
      <c r="AK12" s="154"/>
      <c r="AL12" s="152"/>
      <c r="AM12" s="154"/>
      <c r="AN12" s="868">
        <f>AN9</f>
        <v>3759407</v>
      </c>
      <c r="AO12" s="870">
        <f t="shared" ref="AO12:AU12" si="8">AO9</f>
        <v>11208708</v>
      </c>
      <c r="AP12" s="868">
        <f t="shared" si="8"/>
        <v>316344</v>
      </c>
      <c r="AQ12" s="870">
        <f t="shared" si="8"/>
        <v>929858</v>
      </c>
      <c r="AR12" s="868">
        <f t="shared" si="8"/>
        <v>545614</v>
      </c>
      <c r="AS12" s="870">
        <f t="shared" si="8"/>
        <v>1425907</v>
      </c>
      <c r="AT12" s="868">
        <f t="shared" si="8"/>
        <v>1504998</v>
      </c>
      <c r="AU12" s="870">
        <f t="shared" si="8"/>
        <v>3504392</v>
      </c>
      <c r="AV12" s="152">
        <f t="shared" si="0"/>
        <v>26107885</v>
      </c>
      <c r="AW12" s="154">
        <f t="shared" si="1"/>
        <v>60252988</v>
      </c>
      <c r="AX12" s="539">
        <f>SUM(AX9:AX11)</f>
        <v>61540821</v>
      </c>
      <c r="AY12" s="875">
        <f>SUM(AY9:AY11)</f>
        <v>182268187</v>
      </c>
      <c r="AZ12" s="152">
        <f t="shared" si="2"/>
        <v>87648706</v>
      </c>
      <c r="BA12" s="142">
        <f t="shared" si="3"/>
        <v>242521175</v>
      </c>
    </row>
    <row r="13" spans="1:53" s="182" customFormat="1" ht="14.25" x14ac:dyDescent="0.3">
      <c r="A13" s="199" t="s">
        <v>69</v>
      </c>
      <c r="B13" s="400"/>
      <c r="C13" s="130"/>
      <c r="D13" s="150"/>
      <c r="E13" s="120"/>
      <c r="F13" s="119"/>
      <c r="G13" s="120"/>
      <c r="H13" s="150"/>
      <c r="I13" s="120"/>
      <c r="J13" s="150"/>
      <c r="K13" s="120"/>
      <c r="L13" s="150"/>
      <c r="M13" s="120"/>
      <c r="N13" s="119"/>
      <c r="O13" s="120"/>
      <c r="P13" s="119"/>
      <c r="Q13" s="120"/>
      <c r="R13" s="150"/>
      <c r="S13" s="120"/>
      <c r="T13" s="119"/>
      <c r="U13" s="120"/>
      <c r="V13" s="150"/>
      <c r="W13" s="120"/>
      <c r="X13" s="150"/>
      <c r="Y13" s="120"/>
      <c r="Z13" s="150"/>
      <c r="AA13" s="120"/>
      <c r="AB13" s="150"/>
      <c r="AC13" s="120"/>
      <c r="AD13" s="119"/>
      <c r="AE13" s="120"/>
      <c r="AF13" s="150"/>
      <c r="AG13" s="120"/>
      <c r="AH13" s="150"/>
      <c r="AI13" s="120"/>
      <c r="AJ13" s="150"/>
      <c r="AK13" s="120"/>
      <c r="AL13" s="150"/>
      <c r="AM13" s="120"/>
      <c r="AN13" s="150"/>
      <c r="AO13" s="120"/>
      <c r="AP13" s="248"/>
      <c r="AQ13" s="861"/>
      <c r="AR13" s="405"/>
      <c r="AS13" s="140"/>
      <c r="AT13" s="150"/>
      <c r="AU13" s="120"/>
      <c r="AV13" s="152">
        <f t="shared" si="0"/>
        <v>0</v>
      </c>
      <c r="AW13" s="154">
        <f t="shared" si="1"/>
        <v>0</v>
      </c>
      <c r="AX13" s="405"/>
      <c r="AY13" s="140"/>
      <c r="AZ13" s="152">
        <f t="shared" si="2"/>
        <v>0</v>
      </c>
      <c r="BA13" s="142">
        <f t="shared" si="3"/>
        <v>0</v>
      </c>
    </row>
    <row r="14" spans="1:53" s="182" customFormat="1" ht="14.25" x14ac:dyDescent="0.3">
      <c r="A14" s="199" t="s">
        <v>70</v>
      </c>
      <c r="B14" s="400"/>
      <c r="C14" s="130"/>
      <c r="D14" s="150"/>
      <c r="E14" s="120"/>
      <c r="F14" s="119"/>
      <c r="G14" s="120"/>
      <c r="H14" s="150"/>
      <c r="I14" s="120"/>
      <c r="J14" s="150"/>
      <c r="K14" s="120"/>
      <c r="L14" s="150"/>
      <c r="M14" s="120"/>
      <c r="N14" s="119"/>
      <c r="O14" s="120"/>
      <c r="P14" s="119"/>
      <c r="Q14" s="120"/>
      <c r="R14" s="150"/>
      <c r="S14" s="120"/>
      <c r="T14" s="119"/>
      <c r="U14" s="120"/>
      <c r="V14" s="150"/>
      <c r="W14" s="120"/>
      <c r="X14" s="150"/>
      <c r="Y14" s="120"/>
      <c r="Z14" s="150"/>
      <c r="AA14" s="120"/>
      <c r="AB14" s="150"/>
      <c r="AC14" s="120"/>
      <c r="AD14" s="119"/>
      <c r="AE14" s="120"/>
      <c r="AF14" s="150"/>
      <c r="AG14" s="120"/>
      <c r="AH14" s="150"/>
      <c r="AI14" s="120"/>
      <c r="AJ14" s="150"/>
      <c r="AK14" s="120"/>
      <c r="AL14" s="150"/>
      <c r="AM14" s="120"/>
      <c r="AN14" s="150"/>
      <c r="AO14" s="120"/>
      <c r="AP14" s="248"/>
      <c r="AQ14" s="861"/>
      <c r="AR14" s="405"/>
      <c r="AS14" s="140"/>
      <c r="AT14" s="150"/>
      <c r="AU14" s="120"/>
      <c r="AV14" s="152">
        <f t="shared" si="0"/>
        <v>0</v>
      </c>
      <c r="AW14" s="154">
        <f t="shared" si="1"/>
        <v>0</v>
      </c>
      <c r="AX14" s="405"/>
      <c r="AY14" s="140"/>
      <c r="AZ14" s="152">
        <f t="shared" si="2"/>
        <v>0</v>
      </c>
      <c r="BA14" s="142">
        <f t="shared" si="3"/>
        <v>0</v>
      </c>
    </row>
    <row r="15" spans="1:53" s="182" customFormat="1" ht="14.25" x14ac:dyDescent="0.3">
      <c r="A15" s="198" t="s">
        <v>71</v>
      </c>
      <c r="B15" s="109">
        <v>695938</v>
      </c>
      <c r="C15" s="684">
        <v>1826809</v>
      </c>
      <c r="D15" s="152">
        <v>7801</v>
      </c>
      <c r="E15" s="146">
        <v>16657</v>
      </c>
      <c r="F15" s="145">
        <v>130041</v>
      </c>
      <c r="G15" s="146">
        <v>274382</v>
      </c>
      <c r="H15" s="152">
        <v>600786</v>
      </c>
      <c r="I15" s="146">
        <v>1645539</v>
      </c>
      <c r="J15" s="152">
        <v>209865</v>
      </c>
      <c r="K15" s="146">
        <v>529512</v>
      </c>
      <c r="L15" s="152"/>
      <c r="M15" s="146"/>
      <c r="N15" s="145">
        <v>82382</v>
      </c>
      <c r="O15" s="146">
        <v>260595</v>
      </c>
      <c r="P15" s="145">
        <v>138409</v>
      </c>
      <c r="Q15" s="146">
        <v>296486</v>
      </c>
      <c r="R15" s="152">
        <v>240598</v>
      </c>
      <c r="S15" s="146">
        <v>895175</v>
      </c>
      <c r="T15" s="145">
        <v>78327</v>
      </c>
      <c r="U15" s="146">
        <v>177687</v>
      </c>
      <c r="V15" s="152">
        <v>567832</v>
      </c>
      <c r="W15" s="146">
        <v>1452950</v>
      </c>
      <c r="X15" s="152">
        <v>1039297</v>
      </c>
      <c r="Y15" s="146">
        <v>3195181</v>
      </c>
      <c r="Z15" s="538">
        <v>28776</v>
      </c>
      <c r="AA15" s="136">
        <v>85980</v>
      </c>
      <c r="AB15" s="152">
        <v>13750</v>
      </c>
      <c r="AC15" s="146">
        <v>38288</v>
      </c>
      <c r="AD15" s="543">
        <v>614582</v>
      </c>
      <c r="AE15" s="867">
        <v>1726290</v>
      </c>
      <c r="AF15" s="152">
        <v>770889</v>
      </c>
      <c r="AG15" s="146">
        <v>2468558</v>
      </c>
      <c r="AH15" s="152">
        <v>73856</v>
      </c>
      <c r="AI15" s="146">
        <v>224474</v>
      </c>
      <c r="AJ15" s="152">
        <v>420368</v>
      </c>
      <c r="AK15" s="146">
        <v>1304925</v>
      </c>
      <c r="AL15" s="150"/>
      <c r="AM15" s="120"/>
      <c r="AN15" s="858">
        <v>1593753</v>
      </c>
      <c r="AO15" s="252">
        <v>4434074</v>
      </c>
      <c r="AP15" s="248">
        <v>54842</v>
      </c>
      <c r="AQ15" s="861">
        <v>185996</v>
      </c>
      <c r="AR15" s="405">
        <v>9156</v>
      </c>
      <c r="AS15" s="140">
        <v>24820</v>
      </c>
      <c r="AT15" s="152">
        <v>650006</v>
      </c>
      <c r="AU15" s="146">
        <v>1584640</v>
      </c>
      <c r="AV15" s="152">
        <f t="shared" si="0"/>
        <v>8021254</v>
      </c>
      <c r="AW15" s="154">
        <f t="shared" si="1"/>
        <v>22649018</v>
      </c>
      <c r="AX15" s="152">
        <v>61607238</v>
      </c>
      <c r="AY15" s="146">
        <v>181658917</v>
      </c>
      <c r="AZ15" s="152">
        <f t="shared" si="2"/>
        <v>69628492</v>
      </c>
      <c r="BA15" s="142">
        <f t="shared" si="3"/>
        <v>204307935</v>
      </c>
    </row>
    <row r="16" spans="1:53" s="182" customFormat="1" ht="14.25" x14ac:dyDescent="0.3">
      <c r="A16" s="198" t="s">
        <v>8</v>
      </c>
      <c r="B16" s="400">
        <v>53086</v>
      </c>
      <c r="C16" s="130">
        <v>191095</v>
      </c>
      <c r="D16" s="150">
        <v>4060</v>
      </c>
      <c r="E16" s="120">
        <v>5360</v>
      </c>
      <c r="F16" s="119">
        <v>8302</v>
      </c>
      <c r="G16" s="120">
        <v>20034</v>
      </c>
      <c r="H16" s="150">
        <v>27927</v>
      </c>
      <c r="I16" s="120">
        <v>64494</v>
      </c>
      <c r="J16" s="150">
        <v>221600</v>
      </c>
      <c r="K16" s="120">
        <v>616169</v>
      </c>
      <c r="L16" s="150">
        <v>335</v>
      </c>
      <c r="M16" s="120">
        <v>335</v>
      </c>
      <c r="N16" s="119">
        <v>37425</v>
      </c>
      <c r="O16" s="120">
        <v>71201</v>
      </c>
      <c r="P16" s="119">
        <v>8182</v>
      </c>
      <c r="Q16" s="120">
        <v>18791</v>
      </c>
      <c r="R16" s="150">
        <v>138725</v>
      </c>
      <c r="S16" s="120">
        <v>386348</v>
      </c>
      <c r="T16" s="119">
        <v>19365</v>
      </c>
      <c r="U16" s="120">
        <v>82584</v>
      </c>
      <c r="V16" s="150">
        <v>160661</v>
      </c>
      <c r="W16" s="120">
        <v>536221</v>
      </c>
      <c r="X16" s="150">
        <v>207084</v>
      </c>
      <c r="Y16" s="120">
        <v>611222</v>
      </c>
      <c r="Z16" s="538">
        <v>7811</v>
      </c>
      <c r="AA16" s="136">
        <v>19519</v>
      </c>
      <c r="AB16" s="150">
        <v>12817</v>
      </c>
      <c r="AC16" s="120">
        <v>27830</v>
      </c>
      <c r="AD16" s="119">
        <v>-7006</v>
      </c>
      <c r="AE16" s="120">
        <v>118097</v>
      </c>
      <c r="AF16" s="150">
        <v>1646</v>
      </c>
      <c r="AG16" s="120">
        <v>10299</v>
      </c>
      <c r="AH16" s="150">
        <v>11921</v>
      </c>
      <c r="AI16" s="120">
        <v>37866</v>
      </c>
      <c r="AJ16" s="150">
        <v>67601</v>
      </c>
      <c r="AK16" s="120">
        <v>189445</v>
      </c>
      <c r="AL16" s="150"/>
      <c r="AM16" s="120"/>
      <c r="AN16" s="858">
        <v>10111</v>
      </c>
      <c r="AO16" s="252">
        <v>37316</v>
      </c>
      <c r="AP16" s="248">
        <v>23400</v>
      </c>
      <c r="AQ16" s="861">
        <v>50622</v>
      </c>
      <c r="AR16" s="405">
        <v>87</v>
      </c>
      <c r="AS16" s="140">
        <v>2002</v>
      </c>
      <c r="AT16" s="150">
        <v>111915</v>
      </c>
      <c r="AU16" s="120">
        <v>360788</v>
      </c>
      <c r="AV16" s="152">
        <f t="shared" si="0"/>
        <v>1127055</v>
      </c>
      <c r="AW16" s="154">
        <f t="shared" si="1"/>
        <v>3457638</v>
      </c>
      <c r="AX16" s="150">
        <v>6718</v>
      </c>
      <c r="AY16" s="120">
        <v>22747</v>
      </c>
      <c r="AZ16" s="152">
        <f t="shared" si="2"/>
        <v>1133773</v>
      </c>
      <c r="BA16" s="142">
        <f t="shared" si="3"/>
        <v>3480385</v>
      </c>
    </row>
    <row r="17" spans="1:53" s="182" customFormat="1" ht="14.25" x14ac:dyDescent="0.3">
      <c r="A17" s="198" t="s">
        <v>72</v>
      </c>
      <c r="B17" s="400">
        <v>275771</v>
      </c>
      <c r="C17" s="130">
        <v>670270</v>
      </c>
      <c r="D17" s="150">
        <v>9718</v>
      </c>
      <c r="E17" s="120">
        <v>34185</v>
      </c>
      <c r="F17" s="119">
        <v>25298</v>
      </c>
      <c r="G17" s="120">
        <v>57398</v>
      </c>
      <c r="H17" s="150">
        <v>151174</v>
      </c>
      <c r="I17" s="120">
        <v>309784</v>
      </c>
      <c r="J17" s="150">
        <v>31932</v>
      </c>
      <c r="K17" s="120">
        <v>73706</v>
      </c>
      <c r="L17" s="150">
        <v>1774</v>
      </c>
      <c r="M17" s="120">
        <v>1950</v>
      </c>
      <c r="N17" s="119">
        <v>158497</v>
      </c>
      <c r="O17" s="120">
        <v>345345</v>
      </c>
      <c r="P17" s="119">
        <v>39543</v>
      </c>
      <c r="Q17" s="120">
        <v>84908</v>
      </c>
      <c r="R17" s="150">
        <v>28863</v>
      </c>
      <c r="S17" s="120">
        <v>104921</v>
      </c>
      <c r="T17" s="119">
        <v>26893</v>
      </c>
      <c r="U17" s="120">
        <v>70491</v>
      </c>
      <c r="V17" s="150">
        <v>3351267</v>
      </c>
      <c r="W17" s="120">
        <v>8745622</v>
      </c>
      <c r="X17" s="150">
        <v>3211157</v>
      </c>
      <c r="Y17" s="120">
        <v>10214641</v>
      </c>
      <c r="Z17" s="538">
        <v>292841</v>
      </c>
      <c r="AA17" s="136">
        <v>893781</v>
      </c>
      <c r="AB17" s="150">
        <v>330490</v>
      </c>
      <c r="AC17" s="120">
        <v>870689</v>
      </c>
      <c r="AD17" s="119">
        <v>1041811</v>
      </c>
      <c r="AE17" s="120">
        <v>1948994</v>
      </c>
      <c r="AF17" s="150">
        <v>101979</v>
      </c>
      <c r="AG17" s="120">
        <v>229941</v>
      </c>
      <c r="AH17" s="150">
        <v>670117</v>
      </c>
      <c r="AI17" s="120">
        <v>1892527</v>
      </c>
      <c r="AJ17" s="150">
        <v>32936</v>
      </c>
      <c r="AK17" s="120">
        <v>86392</v>
      </c>
      <c r="AL17" s="150"/>
      <c r="AM17" s="120"/>
      <c r="AN17" s="858">
        <v>35027</v>
      </c>
      <c r="AO17" s="252">
        <v>104636</v>
      </c>
      <c r="AP17" s="248">
        <v>238102</v>
      </c>
      <c r="AQ17" s="861">
        <v>693239</v>
      </c>
      <c r="AR17" s="405"/>
      <c r="AS17" s="140"/>
      <c r="AT17" s="150">
        <v>23502</v>
      </c>
      <c r="AU17" s="120">
        <v>31244</v>
      </c>
      <c r="AV17" s="152">
        <f t="shared" si="0"/>
        <v>10078692</v>
      </c>
      <c r="AW17" s="154">
        <f t="shared" si="1"/>
        <v>27464664</v>
      </c>
      <c r="AX17" s="150">
        <v>57145</v>
      </c>
      <c r="AY17" s="120">
        <v>157813</v>
      </c>
      <c r="AZ17" s="152">
        <f t="shared" si="2"/>
        <v>10135837</v>
      </c>
      <c r="BA17" s="142">
        <f t="shared" si="3"/>
        <v>27622477</v>
      </c>
    </row>
    <row r="18" spans="1:53" s="182" customFormat="1" ht="14.25" x14ac:dyDescent="0.3">
      <c r="A18" s="198" t="s">
        <v>73</v>
      </c>
      <c r="B18" s="400"/>
      <c r="C18" s="130"/>
      <c r="D18" s="150"/>
      <c r="E18" s="120"/>
      <c r="F18" s="119"/>
      <c r="G18" s="120"/>
      <c r="H18" s="150"/>
      <c r="I18" s="120"/>
      <c r="J18" s="150"/>
      <c r="K18" s="120"/>
      <c r="L18" s="150">
        <v>414361</v>
      </c>
      <c r="M18" s="120">
        <v>1261724</v>
      </c>
      <c r="N18" s="119">
        <v>27287</v>
      </c>
      <c r="O18" s="120">
        <v>27287</v>
      </c>
      <c r="P18" s="119"/>
      <c r="Q18" s="120"/>
      <c r="R18" s="150">
        <v>26585</v>
      </c>
      <c r="S18" s="120">
        <v>53558</v>
      </c>
      <c r="T18" s="119"/>
      <c r="U18" s="120"/>
      <c r="V18" s="150"/>
      <c r="W18" s="120"/>
      <c r="X18" s="150"/>
      <c r="Y18" s="120"/>
      <c r="Z18" s="538"/>
      <c r="AA18" s="136"/>
      <c r="AB18" s="150"/>
      <c r="AC18" s="120"/>
      <c r="AD18" s="119"/>
      <c r="AE18" s="120"/>
      <c r="AF18" s="150">
        <v>2668859</v>
      </c>
      <c r="AG18" s="120">
        <v>6219955</v>
      </c>
      <c r="AH18" s="150"/>
      <c r="AI18" s="120"/>
      <c r="AJ18" s="150"/>
      <c r="AK18" s="120"/>
      <c r="AL18" s="150"/>
      <c r="AM18" s="120"/>
      <c r="AN18" s="858">
        <v>2119966</v>
      </c>
      <c r="AO18" s="252">
        <v>6631217</v>
      </c>
      <c r="AP18" s="248"/>
      <c r="AQ18" s="861"/>
      <c r="AR18" s="405">
        <v>536371</v>
      </c>
      <c r="AS18" s="140">
        <v>1399085</v>
      </c>
      <c r="AT18" s="150">
        <v>719575</v>
      </c>
      <c r="AU18" s="120">
        <v>1527720</v>
      </c>
      <c r="AV18" s="152">
        <f t="shared" si="0"/>
        <v>6513004</v>
      </c>
      <c r="AW18" s="154">
        <f t="shared" si="1"/>
        <v>17120546</v>
      </c>
      <c r="AX18" s="150">
        <v>313824</v>
      </c>
      <c r="AY18" s="120">
        <v>873282</v>
      </c>
      <c r="AZ18" s="152">
        <f t="shared" si="2"/>
        <v>6826828</v>
      </c>
      <c r="BA18" s="142">
        <f t="shared" si="3"/>
        <v>17993828</v>
      </c>
    </row>
    <row r="19" spans="1:53" s="182" customFormat="1" ht="14.25" x14ac:dyDescent="0.3">
      <c r="A19" s="198" t="s">
        <v>74</v>
      </c>
      <c r="B19" s="400"/>
      <c r="C19" s="130"/>
      <c r="D19" s="150"/>
      <c r="E19" s="120"/>
      <c r="F19" s="119"/>
      <c r="G19" s="120"/>
      <c r="H19" s="150"/>
      <c r="I19" s="120"/>
      <c r="J19" s="150"/>
      <c r="K19" s="120"/>
      <c r="L19" s="150"/>
      <c r="M19" s="120"/>
      <c r="N19" s="119"/>
      <c r="O19" s="120"/>
      <c r="P19" s="119"/>
      <c r="Q19" s="120"/>
      <c r="R19" s="150"/>
      <c r="S19" s="120"/>
      <c r="T19" s="119"/>
      <c r="U19" s="120"/>
      <c r="V19" s="150">
        <v>5495</v>
      </c>
      <c r="W19" s="120">
        <v>10453</v>
      </c>
      <c r="X19" s="150"/>
      <c r="Y19" s="133"/>
      <c r="Z19" s="538"/>
      <c r="AA19" s="136"/>
      <c r="AB19" s="150"/>
      <c r="AC19" s="120"/>
      <c r="AD19" s="119"/>
      <c r="AE19" s="120"/>
      <c r="AF19" s="150"/>
      <c r="AG19" s="120"/>
      <c r="AH19" s="150"/>
      <c r="AI19" s="120"/>
      <c r="AJ19" s="150"/>
      <c r="AK19" s="120"/>
      <c r="AL19" s="150"/>
      <c r="AM19" s="120"/>
      <c r="AN19" s="150"/>
      <c r="AO19" s="120"/>
      <c r="AP19" s="248"/>
      <c r="AQ19" s="861"/>
      <c r="AR19" s="405"/>
      <c r="AS19" s="140"/>
      <c r="AT19" s="150"/>
      <c r="AU19" s="120"/>
      <c r="AV19" s="152">
        <f t="shared" si="0"/>
        <v>5495</v>
      </c>
      <c r="AW19" s="154">
        <f t="shared" si="1"/>
        <v>10453</v>
      </c>
      <c r="AX19" s="150"/>
      <c r="AY19" s="120"/>
      <c r="AZ19" s="152">
        <f t="shared" si="2"/>
        <v>5495</v>
      </c>
      <c r="BA19" s="142">
        <f t="shared" si="3"/>
        <v>10453</v>
      </c>
    </row>
    <row r="20" spans="1:53" s="182" customFormat="1" ht="14.25" x14ac:dyDescent="0.3">
      <c r="A20" s="198" t="s">
        <v>17</v>
      </c>
      <c r="B20" s="109"/>
      <c r="C20" s="684"/>
      <c r="D20" s="152"/>
      <c r="E20" s="146"/>
      <c r="F20" s="145"/>
      <c r="G20" s="146"/>
      <c r="H20" s="152"/>
      <c r="I20" s="146"/>
      <c r="J20" s="152"/>
      <c r="K20" s="146"/>
      <c r="L20" s="152"/>
      <c r="M20" s="146"/>
      <c r="N20" s="145"/>
      <c r="O20" s="146"/>
      <c r="P20" s="145"/>
      <c r="Q20" s="146"/>
      <c r="R20" s="152"/>
      <c r="S20" s="146"/>
      <c r="T20" s="145"/>
      <c r="U20" s="146"/>
      <c r="V20" s="152"/>
      <c r="W20" s="146">
        <v>3</v>
      </c>
      <c r="X20" s="152"/>
      <c r="Y20" s="146"/>
      <c r="Z20" s="538"/>
      <c r="AA20" s="136"/>
      <c r="AB20" s="152">
        <v>1099</v>
      </c>
      <c r="AC20" s="146">
        <v>1765</v>
      </c>
      <c r="AD20" s="543"/>
      <c r="AE20" s="867"/>
      <c r="AF20" s="152"/>
      <c r="AG20" s="146"/>
      <c r="AH20" s="152"/>
      <c r="AI20" s="146"/>
      <c r="AJ20" s="152"/>
      <c r="AK20" s="146"/>
      <c r="AL20" s="150"/>
      <c r="AM20" s="120"/>
      <c r="AN20" s="858">
        <v>5</v>
      </c>
      <c r="AO20" s="252">
        <v>55</v>
      </c>
      <c r="AP20" s="248"/>
      <c r="AQ20" s="861"/>
      <c r="AR20" s="405"/>
      <c r="AS20" s="140"/>
      <c r="AT20" s="152"/>
      <c r="AU20" s="146"/>
      <c r="AV20" s="152">
        <f t="shared" si="0"/>
        <v>1104</v>
      </c>
      <c r="AW20" s="154">
        <f t="shared" si="1"/>
        <v>1823</v>
      </c>
      <c r="AX20" s="152"/>
      <c r="AY20" s="146"/>
      <c r="AZ20" s="152">
        <f t="shared" si="2"/>
        <v>1104</v>
      </c>
      <c r="BA20" s="142">
        <f t="shared" si="3"/>
        <v>1823</v>
      </c>
    </row>
    <row r="21" spans="1:53" s="182" customFormat="1" ht="14.25" x14ac:dyDescent="0.3">
      <c r="A21" s="198" t="s">
        <v>19</v>
      </c>
      <c r="B21" s="400"/>
      <c r="C21" s="130"/>
      <c r="D21" s="150"/>
      <c r="E21" s="120"/>
      <c r="F21" s="119">
        <v>8107</v>
      </c>
      <c r="G21" s="120">
        <v>14120</v>
      </c>
      <c r="H21" s="150"/>
      <c r="I21" s="120"/>
      <c r="J21" s="150"/>
      <c r="K21" s="120"/>
      <c r="L21" s="150"/>
      <c r="M21" s="120"/>
      <c r="N21" s="119"/>
      <c r="O21" s="120"/>
      <c r="P21" s="119"/>
      <c r="Q21" s="120"/>
      <c r="R21" s="150">
        <v>110</v>
      </c>
      <c r="S21" s="120">
        <v>347</v>
      </c>
      <c r="T21" s="119"/>
      <c r="U21" s="120"/>
      <c r="V21" s="150">
        <v>1450</v>
      </c>
      <c r="W21" s="120">
        <v>4056</v>
      </c>
      <c r="X21" s="150">
        <v>704</v>
      </c>
      <c r="Y21" s="120">
        <v>2734</v>
      </c>
      <c r="Z21" s="538"/>
      <c r="AA21" s="136"/>
      <c r="AB21" s="150"/>
      <c r="AC21" s="120"/>
      <c r="AD21" s="119"/>
      <c r="AE21" s="120"/>
      <c r="AF21" s="150"/>
      <c r="AG21" s="120"/>
      <c r="AH21" s="150"/>
      <c r="AI21" s="120"/>
      <c r="AJ21" s="150"/>
      <c r="AK21" s="120"/>
      <c r="AL21" s="150"/>
      <c r="AM21" s="120"/>
      <c r="AN21" s="858">
        <v>546</v>
      </c>
      <c r="AO21" s="252">
        <v>1409</v>
      </c>
      <c r="AP21" s="248"/>
      <c r="AQ21" s="861"/>
      <c r="AR21" s="405"/>
      <c r="AS21" s="140"/>
      <c r="AT21" s="150"/>
      <c r="AU21" s="120"/>
      <c r="AV21" s="152">
        <f t="shared" si="0"/>
        <v>10917</v>
      </c>
      <c r="AW21" s="154">
        <f t="shared" si="1"/>
        <v>22666</v>
      </c>
      <c r="AX21" s="405">
        <v>989</v>
      </c>
      <c r="AY21" s="140">
        <v>2521</v>
      </c>
      <c r="AZ21" s="152">
        <f t="shared" si="2"/>
        <v>11906</v>
      </c>
      <c r="BA21" s="142">
        <f t="shared" si="3"/>
        <v>25187</v>
      </c>
    </row>
    <row r="22" spans="1:53" s="182" customFormat="1" ht="14.25" x14ac:dyDescent="0.3">
      <c r="A22" s="198" t="s">
        <v>75</v>
      </c>
      <c r="B22" s="400"/>
      <c r="C22" s="130"/>
      <c r="D22" s="150">
        <v>71</v>
      </c>
      <c r="E22" s="120">
        <v>225</v>
      </c>
      <c r="F22" s="119"/>
      <c r="G22" s="120"/>
      <c r="H22" s="150"/>
      <c r="I22" s="120"/>
      <c r="J22" s="150"/>
      <c r="K22" s="120"/>
      <c r="L22" s="150"/>
      <c r="M22" s="120"/>
      <c r="N22" s="119"/>
      <c r="O22" s="120"/>
      <c r="P22" s="119"/>
      <c r="Q22" s="120"/>
      <c r="R22" s="150"/>
      <c r="S22" s="120"/>
      <c r="T22" s="119"/>
      <c r="U22" s="120"/>
      <c r="V22" s="150"/>
      <c r="W22" s="120"/>
      <c r="X22" s="150">
        <v>7650</v>
      </c>
      <c r="Y22" s="120">
        <v>8958</v>
      </c>
      <c r="Z22" s="538"/>
      <c r="AA22" s="136"/>
      <c r="AB22" s="150"/>
      <c r="AC22" s="120"/>
      <c r="AD22" s="119"/>
      <c r="AE22" s="120"/>
      <c r="AF22" s="150"/>
      <c r="AG22" s="120"/>
      <c r="AH22" s="150"/>
      <c r="AI22" s="120"/>
      <c r="AJ22" s="150"/>
      <c r="AK22" s="120"/>
      <c r="AL22" s="150"/>
      <c r="AM22" s="120"/>
      <c r="AN22" s="858"/>
      <c r="AO22" s="252"/>
      <c r="AP22" s="248"/>
      <c r="AQ22" s="861"/>
      <c r="AR22" s="405"/>
      <c r="AS22" s="140"/>
      <c r="AT22" s="150"/>
      <c r="AU22" s="120"/>
      <c r="AV22" s="152">
        <f t="shared" si="0"/>
        <v>7721</v>
      </c>
      <c r="AW22" s="154">
        <f t="shared" si="1"/>
        <v>9183</v>
      </c>
      <c r="AX22" s="405"/>
      <c r="AY22" s="140"/>
      <c r="AZ22" s="152">
        <f t="shared" si="2"/>
        <v>7721</v>
      </c>
      <c r="BA22" s="142">
        <f t="shared" si="3"/>
        <v>9183</v>
      </c>
    </row>
    <row r="23" spans="1:53" s="182" customFormat="1" ht="14.25" x14ac:dyDescent="0.3">
      <c r="A23" s="198" t="s">
        <v>76</v>
      </c>
      <c r="B23" s="545"/>
      <c r="C23" s="864"/>
      <c r="D23" s="165"/>
      <c r="E23" s="164">
        <v>4</v>
      </c>
      <c r="F23" s="166">
        <v>-6</v>
      </c>
      <c r="G23" s="164">
        <v>-7</v>
      </c>
      <c r="H23" s="165"/>
      <c r="I23" s="164"/>
      <c r="J23" s="165"/>
      <c r="K23" s="164"/>
      <c r="L23" s="165"/>
      <c r="M23" s="164"/>
      <c r="N23" s="166">
        <v>865</v>
      </c>
      <c r="O23" s="164">
        <v>2169</v>
      </c>
      <c r="P23" s="166"/>
      <c r="Q23" s="164"/>
      <c r="R23" s="165">
        <v>3550</v>
      </c>
      <c r="S23" s="164">
        <v>9525</v>
      </c>
      <c r="T23" s="166"/>
      <c r="U23" s="164">
        <v>13</v>
      </c>
      <c r="V23" s="165"/>
      <c r="W23" s="164"/>
      <c r="X23" s="165"/>
      <c r="Y23" s="164"/>
      <c r="Z23" s="546"/>
      <c r="AA23" s="866"/>
      <c r="AB23" s="165"/>
      <c r="AC23" s="164"/>
      <c r="AD23" s="166">
        <v>25</v>
      </c>
      <c r="AE23" s="164">
        <v>25</v>
      </c>
      <c r="AF23" s="165"/>
      <c r="AG23" s="164"/>
      <c r="AH23" s="165">
        <v>1</v>
      </c>
      <c r="AI23" s="164">
        <v>-107</v>
      </c>
      <c r="AJ23" s="165"/>
      <c r="AK23" s="164"/>
      <c r="AL23" s="165"/>
      <c r="AM23" s="164"/>
      <c r="AN23" s="869"/>
      <c r="AO23" s="871"/>
      <c r="AP23" s="249"/>
      <c r="AQ23" s="862"/>
      <c r="AR23" s="873"/>
      <c r="AS23" s="394"/>
      <c r="AT23" s="165"/>
      <c r="AU23" s="164"/>
      <c r="AV23" s="152">
        <f t="shared" si="0"/>
        <v>4435</v>
      </c>
      <c r="AW23" s="154">
        <f t="shared" si="1"/>
        <v>11622</v>
      </c>
      <c r="AX23" s="873"/>
      <c r="AY23" s="394"/>
      <c r="AZ23" s="152">
        <f t="shared" si="2"/>
        <v>4435</v>
      </c>
      <c r="BA23" s="142">
        <f t="shared" si="3"/>
        <v>11622</v>
      </c>
    </row>
    <row r="24" spans="1:53" s="182" customFormat="1" ht="15" thickBot="1" x14ac:dyDescent="0.35">
      <c r="A24" s="547" t="s">
        <v>77</v>
      </c>
      <c r="B24" s="545"/>
      <c r="C24" s="865"/>
      <c r="D24" s="165"/>
      <c r="E24" s="548"/>
      <c r="F24" s="165"/>
      <c r="G24" s="548"/>
      <c r="H24" s="165">
        <v>7443</v>
      </c>
      <c r="I24" s="548">
        <v>14887</v>
      </c>
      <c r="J24" s="165"/>
      <c r="K24" s="164"/>
      <c r="L24" s="165"/>
      <c r="M24" s="164"/>
      <c r="N24" s="166"/>
      <c r="O24" s="164"/>
      <c r="P24" s="166"/>
      <c r="Q24" s="164"/>
      <c r="R24" s="165"/>
      <c r="S24" s="164"/>
      <c r="T24" s="166"/>
      <c r="U24" s="164"/>
      <c r="V24" s="165"/>
      <c r="W24" s="164"/>
      <c r="X24" s="165"/>
      <c r="Y24" s="164"/>
      <c r="Z24" s="546"/>
      <c r="AA24" s="866"/>
      <c r="AB24" s="165"/>
      <c r="AC24" s="164"/>
      <c r="AD24" s="166"/>
      <c r="AE24" s="164"/>
      <c r="AF24" s="165"/>
      <c r="AG24" s="164"/>
      <c r="AH24" s="165"/>
      <c r="AI24" s="164"/>
      <c r="AJ24" s="165"/>
      <c r="AK24" s="164"/>
      <c r="AL24" s="165"/>
      <c r="AM24" s="164"/>
      <c r="AN24" s="869"/>
      <c r="AO24" s="871"/>
      <c r="AP24" s="249"/>
      <c r="AQ24" s="862"/>
      <c r="AR24" s="873"/>
      <c r="AS24" s="394"/>
      <c r="AT24" s="165"/>
      <c r="AU24" s="164"/>
      <c r="AV24" s="170">
        <f t="shared" si="0"/>
        <v>7443</v>
      </c>
      <c r="AW24" s="172">
        <f t="shared" si="1"/>
        <v>14887</v>
      </c>
      <c r="AX24" s="873"/>
      <c r="AY24" s="394"/>
      <c r="AZ24" s="170">
        <f t="shared" si="2"/>
        <v>7443</v>
      </c>
      <c r="BA24" s="550">
        <f t="shared" si="3"/>
        <v>14887</v>
      </c>
    </row>
    <row r="25" spans="1:53" s="549" customFormat="1" ht="15" thickBot="1" x14ac:dyDescent="0.35">
      <c r="A25" s="559" t="s">
        <v>56</v>
      </c>
      <c r="B25" s="551">
        <f t="shared" ref="B25:G25" si="9">SUM(B15:B23)</f>
        <v>1024795</v>
      </c>
      <c r="C25" s="553">
        <f t="shared" si="9"/>
        <v>2688174</v>
      </c>
      <c r="D25" s="554">
        <f t="shared" si="9"/>
        <v>21650</v>
      </c>
      <c r="E25" s="553">
        <f t="shared" si="9"/>
        <v>56431</v>
      </c>
      <c r="F25" s="551">
        <f t="shared" si="9"/>
        <v>171742</v>
      </c>
      <c r="G25" s="553">
        <f t="shared" si="9"/>
        <v>365927</v>
      </c>
      <c r="H25" s="554">
        <f>SUM(H15:H24)</f>
        <v>787330</v>
      </c>
      <c r="I25" s="553">
        <f>SUM(I15:I24)</f>
        <v>2034704</v>
      </c>
      <c r="J25" s="554">
        <f t="shared" ref="J25:AN25" si="10">SUM(J15:J24)</f>
        <v>463397</v>
      </c>
      <c r="K25" s="553">
        <f t="shared" si="10"/>
        <v>1219387</v>
      </c>
      <c r="L25" s="554">
        <f t="shared" si="10"/>
        <v>416470</v>
      </c>
      <c r="M25" s="553">
        <f t="shared" si="10"/>
        <v>1264009</v>
      </c>
      <c r="N25" s="551">
        <f t="shared" si="10"/>
        <v>306456</v>
      </c>
      <c r="O25" s="553">
        <f t="shared" si="10"/>
        <v>706597</v>
      </c>
      <c r="P25" s="551">
        <f t="shared" si="10"/>
        <v>186134</v>
      </c>
      <c r="Q25" s="553">
        <f t="shared" si="10"/>
        <v>400185</v>
      </c>
      <c r="R25" s="554">
        <f t="shared" si="10"/>
        <v>438431</v>
      </c>
      <c r="S25" s="553">
        <f t="shared" si="10"/>
        <v>1449874</v>
      </c>
      <c r="T25" s="551">
        <f t="shared" si="10"/>
        <v>124585</v>
      </c>
      <c r="U25" s="553">
        <f t="shared" si="10"/>
        <v>330775</v>
      </c>
      <c r="V25" s="554">
        <f t="shared" si="10"/>
        <v>4086705</v>
      </c>
      <c r="W25" s="553">
        <f t="shared" si="10"/>
        <v>10749305</v>
      </c>
      <c r="X25" s="554">
        <f t="shared" si="10"/>
        <v>4465892</v>
      </c>
      <c r="Y25" s="553">
        <f t="shared" si="10"/>
        <v>14032736</v>
      </c>
      <c r="Z25" s="554">
        <f t="shared" si="10"/>
        <v>329428</v>
      </c>
      <c r="AA25" s="553">
        <f t="shared" si="10"/>
        <v>999280</v>
      </c>
      <c r="AB25" s="554">
        <f t="shared" si="10"/>
        <v>358156</v>
      </c>
      <c r="AC25" s="553">
        <f t="shared" si="10"/>
        <v>938572</v>
      </c>
      <c r="AD25" s="551">
        <f t="shared" si="10"/>
        <v>1649412</v>
      </c>
      <c r="AE25" s="553">
        <f t="shared" si="10"/>
        <v>3793406</v>
      </c>
      <c r="AF25" s="554">
        <f t="shared" si="10"/>
        <v>3543373</v>
      </c>
      <c r="AG25" s="553">
        <f t="shared" si="10"/>
        <v>8928753</v>
      </c>
      <c r="AH25" s="554">
        <f t="shared" si="10"/>
        <v>755895</v>
      </c>
      <c r="AI25" s="553">
        <f t="shared" si="10"/>
        <v>2154760</v>
      </c>
      <c r="AJ25" s="554">
        <f t="shared" si="10"/>
        <v>520905</v>
      </c>
      <c r="AK25" s="553">
        <f t="shared" si="10"/>
        <v>1580762</v>
      </c>
      <c r="AL25" s="554">
        <f t="shared" si="10"/>
        <v>0</v>
      </c>
      <c r="AM25" s="553">
        <f t="shared" si="10"/>
        <v>0</v>
      </c>
      <c r="AN25" s="554">
        <f t="shared" si="10"/>
        <v>3759408</v>
      </c>
      <c r="AO25" s="872">
        <f t="shared" ref="AO25:AU25" si="11">SUM(AO15:AO24)</f>
        <v>11208707</v>
      </c>
      <c r="AP25" s="555">
        <f t="shared" si="11"/>
        <v>316344</v>
      </c>
      <c r="AQ25" s="872">
        <f t="shared" si="11"/>
        <v>929857</v>
      </c>
      <c r="AR25" s="555">
        <f t="shared" si="11"/>
        <v>545614</v>
      </c>
      <c r="AS25" s="872">
        <f t="shared" si="11"/>
        <v>1425907</v>
      </c>
      <c r="AT25" s="555">
        <f t="shared" si="11"/>
        <v>1504998</v>
      </c>
      <c r="AU25" s="872">
        <f t="shared" si="11"/>
        <v>3504392</v>
      </c>
      <c r="AV25" s="555">
        <f t="shared" si="0"/>
        <v>25777120</v>
      </c>
      <c r="AW25" s="573">
        <f t="shared" si="1"/>
        <v>70762500</v>
      </c>
      <c r="AX25" s="557">
        <f>SUM(AX15:AX24)</f>
        <v>61985914</v>
      </c>
      <c r="AY25" s="876">
        <f>SUM(AY15:AY24)</f>
        <v>182715280</v>
      </c>
      <c r="AZ25" s="555">
        <f t="shared" si="2"/>
        <v>87763034</v>
      </c>
      <c r="BA25" s="558">
        <f t="shared" si="3"/>
        <v>253477780</v>
      </c>
    </row>
  </sheetData>
  <mergeCells count="29">
    <mergeCell ref="AP3:AQ3"/>
    <mergeCell ref="AR3:AS3"/>
    <mergeCell ref="AT3:AU3"/>
    <mergeCell ref="AV3:AW3"/>
    <mergeCell ref="AD3:AE3"/>
    <mergeCell ref="AF3:AG3"/>
    <mergeCell ref="AH3:AI3"/>
    <mergeCell ref="AJ3:AK3"/>
    <mergeCell ref="AL3:AM3"/>
    <mergeCell ref="AN3:AO3"/>
    <mergeCell ref="V3:W3"/>
    <mergeCell ref="X3:Y3"/>
    <mergeCell ref="Z3:AA3"/>
    <mergeCell ref="B3:C3"/>
    <mergeCell ref="J3:K3"/>
    <mergeCell ref="L3:M3"/>
    <mergeCell ref="N3:O3"/>
    <mergeCell ref="P3:Q3"/>
    <mergeCell ref="R3:S3"/>
    <mergeCell ref="A1:AZ1"/>
    <mergeCell ref="A2:AZ2"/>
    <mergeCell ref="A3:A4"/>
    <mergeCell ref="AB3:AC3"/>
    <mergeCell ref="AX3:AY3"/>
    <mergeCell ref="AZ3:BA3"/>
    <mergeCell ref="D3:E3"/>
    <mergeCell ref="F3:G3"/>
    <mergeCell ref="H3:I3"/>
    <mergeCell ref="T3:U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39"/>
  <sheetViews>
    <sheetView workbookViewId="0">
      <pane xSplit="1" topLeftCell="AP1" activePane="topRight" state="frozen"/>
      <selection pane="topRight" activeCell="AV3" sqref="AV3:AW3"/>
    </sheetView>
    <sheetView workbookViewId="1">
      <selection activeCell="E8" sqref="E8"/>
    </sheetView>
  </sheetViews>
  <sheetFormatPr defaultRowHeight="16.5" x14ac:dyDescent="0.3"/>
  <cols>
    <col min="1" max="1" width="59.42578125" style="147" bestFit="1" customWidth="1"/>
    <col min="2" max="2" width="11.42578125" style="147" bestFit="1" customWidth="1"/>
    <col min="3" max="3" width="12.42578125" style="147" bestFit="1" customWidth="1"/>
    <col min="4" max="4" width="11.42578125" style="147" bestFit="1" customWidth="1"/>
    <col min="5" max="5" width="12.42578125" style="147" bestFit="1" customWidth="1"/>
    <col min="6" max="6" width="11.42578125" style="147" bestFit="1" customWidth="1"/>
    <col min="7" max="7" width="12.42578125" style="147" bestFit="1" customWidth="1"/>
    <col min="8" max="8" width="11.42578125" style="147" bestFit="1" customWidth="1"/>
    <col min="9" max="9" width="12.42578125" style="147" bestFit="1" customWidth="1"/>
    <col min="10" max="10" width="11.42578125" style="147" bestFit="1" customWidth="1"/>
    <col min="11" max="11" width="12.42578125" style="147" bestFit="1" customWidth="1"/>
    <col min="12" max="12" width="11.42578125" style="147" bestFit="1" customWidth="1"/>
    <col min="13" max="13" width="12.42578125" style="147" bestFit="1" customWidth="1"/>
    <col min="14" max="14" width="11.42578125" style="147" bestFit="1" customWidth="1"/>
    <col min="15" max="15" width="12.42578125" style="147" bestFit="1" customWidth="1"/>
    <col min="16" max="16" width="11.42578125" style="147" bestFit="1" customWidth="1"/>
    <col min="17" max="17" width="12.42578125" style="147" bestFit="1" customWidth="1"/>
    <col min="18" max="18" width="11.42578125" style="147" bestFit="1" customWidth="1"/>
    <col min="19" max="19" width="12.42578125" style="147" bestFit="1" customWidth="1"/>
    <col min="20" max="20" width="11.42578125" style="147" bestFit="1" customWidth="1"/>
    <col min="21" max="21" width="12.42578125" style="147" bestFit="1" customWidth="1"/>
    <col min="22" max="22" width="11.5703125" style="147" bestFit="1" customWidth="1"/>
    <col min="23" max="23" width="12.42578125" style="147" bestFit="1" customWidth="1"/>
    <col min="24" max="24" width="11.42578125" style="147" bestFit="1" customWidth="1"/>
    <col min="25" max="25" width="12.42578125" style="147" bestFit="1" customWidth="1"/>
    <col min="26" max="26" width="11.42578125" style="147" bestFit="1" customWidth="1"/>
    <col min="27" max="27" width="12.42578125" style="147" bestFit="1" customWidth="1"/>
    <col min="28" max="28" width="11.42578125" style="147" bestFit="1" customWidth="1"/>
    <col min="29" max="29" width="12.42578125" style="147" bestFit="1" customWidth="1"/>
    <col min="30" max="30" width="11.42578125" style="147" bestFit="1" customWidth="1"/>
    <col min="31" max="31" width="12.42578125" style="147" bestFit="1" customWidth="1"/>
    <col min="32" max="32" width="11.42578125" style="147" bestFit="1" customWidth="1"/>
    <col min="33" max="33" width="12.42578125" style="147" bestFit="1" customWidth="1"/>
    <col min="34" max="34" width="11.42578125" style="147" bestFit="1" customWidth="1"/>
    <col min="35" max="35" width="12.42578125" style="147" bestFit="1" customWidth="1"/>
    <col min="36" max="36" width="11.42578125" style="147" bestFit="1" customWidth="1"/>
    <col min="37" max="37" width="12.42578125" style="147" bestFit="1" customWidth="1"/>
    <col min="38" max="38" width="11.42578125" style="147" bestFit="1" customWidth="1"/>
    <col min="39" max="39" width="12.42578125" style="147" bestFit="1" customWidth="1"/>
    <col min="40" max="40" width="11.42578125" style="147" bestFit="1" customWidth="1"/>
    <col min="41" max="41" width="12.42578125" style="147" bestFit="1" customWidth="1"/>
    <col min="42" max="42" width="11.42578125" style="147" bestFit="1" customWidth="1"/>
    <col min="43" max="43" width="12.42578125" style="147" bestFit="1" customWidth="1"/>
    <col min="44" max="44" width="11.42578125" style="147" bestFit="1" customWidth="1"/>
    <col min="45" max="45" width="12.42578125" style="147" bestFit="1" customWidth="1"/>
    <col min="46" max="46" width="11.42578125" style="147" bestFit="1" customWidth="1"/>
    <col min="47" max="47" width="12.42578125" style="147" bestFit="1" customWidth="1"/>
    <col min="48" max="48" width="11.5703125" style="147" bestFit="1" customWidth="1"/>
    <col min="49" max="53" width="12.85546875" style="147" bestFit="1" customWidth="1"/>
    <col min="54" max="16384" width="9.140625" style="147"/>
  </cols>
  <sheetData>
    <row r="1" spans="1:53" ht="18" x14ac:dyDescent="0.35">
      <c r="A1" s="970" t="s">
        <v>152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  <c r="O1" s="970"/>
      <c r="P1" s="970"/>
      <c r="Q1" s="970"/>
      <c r="R1" s="970"/>
      <c r="S1" s="970"/>
      <c r="T1" s="970"/>
      <c r="U1" s="970"/>
      <c r="V1" s="970"/>
      <c r="W1" s="970"/>
      <c r="X1" s="970"/>
      <c r="Y1" s="970"/>
      <c r="Z1" s="970"/>
      <c r="AA1" s="970"/>
      <c r="AB1" s="970"/>
      <c r="AC1" s="970"/>
      <c r="AD1" s="970"/>
      <c r="AE1" s="970"/>
      <c r="AF1" s="970"/>
      <c r="AG1" s="970"/>
      <c r="AH1" s="970"/>
      <c r="AI1" s="970"/>
      <c r="AJ1" s="970"/>
      <c r="AK1" s="970"/>
      <c r="AL1" s="970"/>
      <c r="AM1" s="970"/>
      <c r="AN1" s="970"/>
      <c r="AO1" s="970"/>
      <c r="AP1" s="970"/>
      <c r="AQ1" s="970"/>
      <c r="AR1" s="970"/>
      <c r="AS1" s="970"/>
      <c r="AT1" s="970"/>
      <c r="AU1" s="970"/>
      <c r="AV1" s="970"/>
      <c r="AW1" s="970"/>
      <c r="AX1" s="970"/>
      <c r="AY1" s="970"/>
      <c r="AZ1" s="970"/>
    </row>
    <row r="2" spans="1:53" s="566" customFormat="1" ht="18.75" thickBot="1" x14ac:dyDescent="0.4">
      <c r="A2" s="954" t="s">
        <v>78</v>
      </c>
      <c r="B2" s="954"/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954"/>
      <c r="N2" s="954"/>
      <c r="O2" s="954"/>
      <c r="P2" s="954"/>
      <c r="Q2" s="954"/>
      <c r="R2" s="954"/>
      <c r="S2" s="954"/>
      <c r="T2" s="954"/>
      <c r="U2" s="954"/>
      <c r="V2" s="954"/>
      <c r="W2" s="954"/>
      <c r="X2" s="954"/>
      <c r="Y2" s="954"/>
      <c r="Z2" s="954"/>
      <c r="AA2" s="954"/>
      <c r="AB2" s="954"/>
      <c r="AC2" s="954"/>
      <c r="AD2" s="954"/>
      <c r="AE2" s="954"/>
      <c r="AF2" s="954"/>
      <c r="AG2" s="954"/>
      <c r="AH2" s="954"/>
      <c r="AI2" s="954"/>
      <c r="AJ2" s="954"/>
      <c r="AK2" s="954"/>
      <c r="AL2" s="954"/>
      <c r="AM2" s="954"/>
      <c r="AN2" s="954"/>
      <c r="AO2" s="954"/>
      <c r="AP2" s="954"/>
      <c r="AQ2" s="954"/>
      <c r="AR2" s="954"/>
      <c r="AS2" s="954"/>
      <c r="AT2" s="954"/>
      <c r="AU2" s="954"/>
      <c r="AV2" s="954"/>
      <c r="AW2" s="954"/>
      <c r="AX2" s="954"/>
      <c r="AY2" s="954"/>
      <c r="AZ2" s="954"/>
    </row>
    <row r="3" spans="1:53" s="294" customFormat="1" ht="60.75" customHeight="1" thickBot="1" x14ac:dyDescent="0.35">
      <c r="A3" s="971" t="s">
        <v>0</v>
      </c>
      <c r="B3" s="968" t="s">
        <v>155</v>
      </c>
      <c r="C3" s="969"/>
      <c r="D3" s="965" t="s">
        <v>156</v>
      </c>
      <c r="E3" s="966"/>
      <c r="F3" s="965" t="s">
        <v>157</v>
      </c>
      <c r="G3" s="966"/>
      <c r="H3" s="965" t="s">
        <v>158</v>
      </c>
      <c r="I3" s="966"/>
      <c r="J3" s="965" t="s">
        <v>159</v>
      </c>
      <c r="K3" s="966"/>
      <c r="L3" s="965" t="s">
        <v>160</v>
      </c>
      <c r="M3" s="966"/>
      <c r="N3" s="965" t="s">
        <v>161</v>
      </c>
      <c r="O3" s="966"/>
      <c r="P3" s="965" t="s">
        <v>162</v>
      </c>
      <c r="Q3" s="966"/>
      <c r="R3" s="965" t="s">
        <v>163</v>
      </c>
      <c r="S3" s="966"/>
      <c r="T3" s="965" t="s">
        <v>164</v>
      </c>
      <c r="U3" s="966"/>
      <c r="V3" s="965" t="s">
        <v>165</v>
      </c>
      <c r="W3" s="966"/>
      <c r="X3" s="965" t="s">
        <v>166</v>
      </c>
      <c r="Y3" s="966"/>
      <c r="Z3" s="965" t="s">
        <v>167</v>
      </c>
      <c r="AA3" s="966"/>
      <c r="AB3" s="965" t="s">
        <v>168</v>
      </c>
      <c r="AC3" s="966"/>
      <c r="AD3" s="965" t="s">
        <v>169</v>
      </c>
      <c r="AE3" s="966"/>
      <c r="AF3" s="965" t="s">
        <v>170</v>
      </c>
      <c r="AG3" s="966"/>
      <c r="AH3" s="965" t="s">
        <v>171</v>
      </c>
      <c r="AI3" s="966"/>
      <c r="AJ3" s="965" t="s">
        <v>172</v>
      </c>
      <c r="AK3" s="966"/>
      <c r="AL3" s="965" t="s">
        <v>173</v>
      </c>
      <c r="AM3" s="966"/>
      <c r="AN3" s="965" t="s">
        <v>174</v>
      </c>
      <c r="AO3" s="966"/>
      <c r="AP3" s="965" t="s">
        <v>175</v>
      </c>
      <c r="AQ3" s="966"/>
      <c r="AR3" s="965" t="s">
        <v>176</v>
      </c>
      <c r="AS3" s="966"/>
      <c r="AT3" s="965" t="s">
        <v>177</v>
      </c>
      <c r="AU3" s="966"/>
      <c r="AV3" s="965" t="s">
        <v>1</v>
      </c>
      <c r="AW3" s="966"/>
      <c r="AX3" s="965" t="s">
        <v>178</v>
      </c>
      <c r="AY3" s="966"/>
      <c r="AZ3" s="967" t="s">
        <v>2</v>
      </c>
      <c r="BA3" s="966"/>
    </row>
    <row r="4" spans="1:53" s="568" customFormat="1" ht="15" customHeight="1" thickBot="1" x14ac:dyDescent="0.35">
      <c r="A4" s="972"/>
      <c r="B4" s="610" t="s">
        <v>180</v>
      </c>
      <c r="C4" s="582" t="s">
        <v>181</v>
      </c>
      <c r="D4" s="610" t="s">
        <v>180</v>
      </c>
      <c r="E4" s="582" t="s">
        <v>181</v>
      </c>
      <c r="F4" s="583" t="s">
        <v>180</v>
      </c>
      <c r="G4" s="583" t="s">
        <v>181</v>
      </c>
      <c r="H4" s="610" t="s">
        <v>180</v>
      </c>
      <c r="I4" s="582" t="s">
        <v>181</v>
      </c>
      <c r="J4" s="583" t="s">
        <v>180</v>
      </c>
      <c r="K4" s="582" t="s">
        <v>181</v>
      </c>
      <c r="L4" s="583" t="s">
        <v>180</v>
      </c>
      <c r="M4" s="582" t="s">
        <v>181</v>
      </c>
      <c r="N4" s="583" t="s">
        <v>180</v>
      </c>
      <c r="O4" s="582" t="s">
        <v>181</v>
      </c>
      <c r="P4" s="583" t="s">
        <v>180</v>
      </c>
      <c r="Q4" s="583" t="s">
        <v>181</v>
      </c>
      <c r="R4" s="583" t="s">
        <v>180</v>
      </c>
      <c r="S4" s="582" t="s">
        <v>181</v>
      </c>
      <c r="T4" s="583" t="s">
        <v>180</v>
      </c>
      <c r="U4" s="583" t="s">
        <v>181</v>
      </c>
      <c r="V4" s="583" t="s">
        <v>180</v>
      </c>
      <c r="W4" s="583" t="s">
        <v>181</v>
      </c>
      <c r="X4" s="583" t="s">
        <v>180</v>
      </c>
      <c r="Y4" s="583" t="s">
        <v>181</v>
      </c>
      <c r="Z4" s="583" t="s">
        <v>180</v>
      </c>
      <c r="AA4" s="583" t="s">
        <v>181</v>
      </c>
      <c r="AB4" s="583" t="s">
        <v>180</v>
      </c>
      <c r="AC4" s="582" t="s">
        <v>181</v>
      </c>
      <c r="AD4" s="583" t="s">
        <v>180</v>
      </c>
      <c r="AE4" s="582" t="s">
        <v>181</v>
      </c>
      <c r="AF4" s="583" t="s">
        <v>180</v>
      </c>
      <c r="AG4" s="582" t="s">
        <v>181</v>
      </c>
      <c r="AH4" s="583" t="s">
        <v>180</v>
      </c>
      <c r="AI4" s="582" t="s">
        <v>181</v>
      </c>
      <c r="AJ4" s="583" t="s">
        <v>180</v>
      </c>
      <c r="AK4" s="582" t="s">
        <v>181</v>
      </c>
      <c r="AL4" s="583" t="s">
        <v>180</v>
      </c>
      <c r="AM4" s="582" t="s">
        <v>181</v>
      </c>
      <c r="AN4" s="583" t="s">
        <v>180</v>
      </c>
      <c r="AO4" s="582" t="s">
        <v>181</v>
      </c>
      <c r="AP4" s="583" t="s">
        <v>180</v>
      </c>
      <c r="AQ4" s="582" t="s">
        <v>181</v>
      </c>
      <c r="AR4" s="922" t="s">
        <v>180</v>
      </c>
      <c r="AS4" s="923" t="s">
        <v>181</v>
      </c>
      <c r="AT4" s="583" t="s">
        <v>180</v>
      </c>
      <c r="AU4" s="583" t="s">
        <v>181</v>
      </c>
      <c r="AV4" s="583" t="s">
        <v>180</v>
      </c>
      <c r="AW4" s="583" t="s">
        <v>181</v>
      </c>
      <c r="AX4" s="610" t="s">
        <v>180</v>
      </c>
      <c r="AY4" s="582" t="s">
        <v>181</v>
      </c>
      <c r="AZ4" s="583" t="s">
        <v>180</v>
      </c>
      <c r="BA4" s="582" t="s">
        <v>181</v>
      </c>
    </row>
    <row r="5" spans="1:53" ht="15" customHeight="1" x14ac:dyDescent="0.3">
      <c r="A5" s="745" t="s">
        <v>79</v>
      </c>
      <c r="B5" s="727">
        <v>1446722</v>
      </c>
      <c r="C5" s="728">
        <v>5137457</v>
      </c>
      <c r="D5" s="727">
        <v>226299</v>
      </c>
      <c r="E5" s="728">
        <v>886395</v>
      </c>
      <c r="F5" s="727">
        <v>502466</v>
      </c>
      <c r="G5" s="728">
        <v>2005508</v>
      </c>
      <c r="H5" s="727">
        <v>1832150</v>
      </c>
      <c r="I5" s="728">
        <v>6833883</v>
      </c>
      <c r="J5" s="727">
        <v>711242</v>
      </c>
      <c r="K5" s="728">
        <v>2386455</v>
      </c>
      <c r="L5" s="727">
        <v>621415</v>
      </c>
      <c r="M5" s="728">
        <v>2060642</v>
      </c>
      <c r="N5" s="727">
        <v>893278</v>
      </c>
      <c r="O5" s="728">
        <v>3123986</v>
      </c>
      <c r="P5" s="727">
        <v>677650</v>
      </c>
      <c r="Q5" s="728">
        <v>2143237</v>
      </c>
      <c r="R5" s="727">
        <v>709078</v>
      </c>
      <c r="S5" s="728">
        <v>2907919</v>
      </c>
      <c r="T5" s="727">
        <v>791666</v>
      </c>
      <c r="U5" s="730">
        <v>2444102</v>
      </c>
      <c r="V5" s="727">
        <v>3985117</v>
      </c>
      <c r="W5" s="730">
        <v>12917701</v>
      </c>
      <c r="X5" s="727">
        <v>2572164</v>
      </c>
      <c r="Y5" s="730">
        <v>9653031</v>
      </c>
      <c r="Z5" s="727">
        <v>559018</v>
      </c>
      <c r="AA5" s="730">
        <v>1487177</v>
      </c>
      <c r="AB5" s="727">
        <v>403769</v>
      </c>
      <c r="AC5" s="728">
        <v>1443599</v>
      </c>
      <c r="AD5" s="727">
        <v>2080590</v>
      </c>
      <c r="AE5" s="728">
        <v>6432743</v>
      </c>
      <c r="AF5" s="727">
        <v>1947482</v>
      </c>
      <c r="AG5" s="728">
        <v>7543219</v>
      </c>
      <c r="AH5" s="727">
        <v>1458932</v>
      </c>
      <c r="AI5" s="728">
        <v>5410699</v>
      </c>
      <c r="AJ5" s="727">
        <v>1764841</v>
      </c>
      <c r="AK5" s="728">
        <v>5702421</v>
      </c>
      <c r="AL5" s="727"/>
      <c r="AM5" s="728"/>
      <c r="AN5" s="733">
        <v>2445956</v>
      </c>
      <c r="AO5" s="734">
        <v>9581957</v>
      </c>
      <c r="AP5" s="727">
        <v>669089</v>
      </c>
      <c r="AQ5" s="728">
        <v>1989410</v>
      </c>
      <c r="AR5" s="727">
        <v>377041</v>
      </c>
      <c r="AS5" s="728">
        <v>1818399</v>
      </c>
      <c r="AT5" s="727">
        <v>1149819</v>
      </c>
      <c r="AU5" s="728">
        <v>3947410</v>
      </c>
      <c r="AV5" s="726">
        <f t="shared" ref="AV5:AV38" si="0">SUM(B5+D5+F5+H5+J5+L5+N5+P5+R5+T5+V5+X5+Z5+AB5+AD5+AF5+AH5+AJ5+AL5+AN5+AP5+AR5+AT5)</f>
        <v>27825784</v>
      </c>
      <c r="AW5" s="731">
        <f t="shared" ref="AW5:AW38" si="1">SUM(C5+E5+G5+I5+K5+M5+O5+Q5+S5+U5+W5+Y5+AA5+AC5+AE5+AG5+AI5+AK5+AM5+AO5+AQ5+AS5+AU5)</f>
        <v>97857350</v>
      </c>
      <c r="AX5" s="726">
        <v>69779723</v>
      </c>
      <c r="AY5" s="728">
        <v>210819765</v>
      </c>
      <c r="AZ5" s="729">
        <f t="shared" ref="AZ5:AZ38" si="2">AV5+AX5</f>
        <v>97605507</v>
      </c>
      <c r="BA5" s="732">
        <f t="shared" ref="BA5:BA38" si="3">AW5+AY5</f>
        <v>308677115</v>
      </c>
    </row>
    <row r="6" spans="1:53" x14ac:dyDescent="0.3">
      <c r="A6" s="200" t="s">
        <v>80</v>
      </c>
      <c r="B6" s="202">
        <v>50220</v>
      </c>
      <c r="C6" s="203">
        <v>229471</v>
      </c>
      <c r="D6" s="204">
        <v>11655</v>
      </c>
      <c r="E6" s="205">
        <v>44943</v>
      </c>
      <c r="F6" s="204">
        <v>14889</v>
      </c>
      <c r="G6" s="205">
        <v>57671</v>
      </c>
      <c r="H6" s="204">
        <v>78387</v>
      </c>
      <c r="I6" s="205">
        <v>258778</v>
      </c>
      <c r="J6" s="204">
        <v>21007</v>
      </c>
      <c r="K6" s="205">
        <v>68441</v>
      </c>
      <c r="L6" s="204">
        <v>25771</v>
      </c>
      <c r="M6" s="205">
        <v>90931</v>
      </c>
      <c r="N6" s="204">
        <v>25665</v>
      </c>
      <c r="O6" s="205">
        <v>94458</v>
      </c>
      <c r="P6" s="204">
        <v>72077</v>
      </c>
      <c r="Q6" s="205">
        <v>185304</v>
      </c>
      <c r="R6" s="204">
        <v>46730</v>
      </c>
      <c r="S6" s="205">
        <v>139969</v>
      </c>
      <c r="T6" s="204">
        <v>22769</v>
      </c>
      <c r="U6" s="365">
        <v>62759</v>
      </c>
      <c r="V6" s="204">
        <v>73628</v>
      </c>
      <c r="W6" s="365">
        <v>243857</v>
      </c>
      <c r="X6" s="204">
        <v>193950</v>
      </c>
      <c r="Y6" s="365">
        <v>626038</v>
      </c>
      <c r="Z6" s="206">
        <v>22889</v>
      </c>
      <c r="AA6" s="364">
        <v>65775</v>
      </c>
      <c r="AB6" s="204">
        <v>34043</v>
      </c>
      <c r="AC6" s="205">
        <v>113693</v>
      </c>
      <c r="AD6" s="204">
        <v>81615</v>
      </c>
      <c r="AE6" s="205">
        <v>230317</v>
      </c>
      <c r="AF6" s="204">
        <v>243606</v>
      </c>
      <c r="AG6" s="205">
        <v>552834</v>
      </c>
      <c r="AH6" s="204">
        <v>24754</v>
      </c>
      <c r="AI6" s="205">
        <v>123882</v>
      </c>
      <c r="AJ6" s="204">
        <v>61718</v>
      </c>
      <c r="AK6" s="205">
        <v>161451</v>
      </c>
      <c r="AL6" s="204"/>
      <c r="AM6" s="205"/>
      <c r="AN6" s="735">
        <v>145481</v>
      </c>
      <c r="AO6" s="736">
        <v>592076</v>
      </c>
      <c r="AP6" s="207">
        <v>61704</v>
      </c>
      <c r="AQ6" s="208">
        <v>152557</v>
      </c>
      <c r="AR6" s="210">
        <v>16104</v>
      </c>
      <c r="AS6" s="211">
        <v>54429</v>
      </c>
      <c r="AT6" s="204">
        <v>67127</v>
      </c>
      <c r="AU6" s="205">
        <v>223735</v>
      </c>
      <c r="AV6" s="213">
        <f t="shared" si="0"/>
        <v>1395789</v>
      </c>
      <c r="AW6" s="569">
        <f t="shared" si="1"/>
        <v>4373369</v>
      </c>
      <c r="AX6" s="209">
        <v>738552</v>
      </c>
      <c r="AY6" s="211">
        <v>2916168</v>
      </c>
      <c r="AZ6" s="511">
        <f t="shared" si="2"/>
        <v>2134341</v>
      </c>
      <c r="BA6" s="214">
        <f t="shared" si="3"/>
        <v>7289537</v>
      </c>
    </row>
    <row r="7" spans="1:53" x14ac:dyDescent="0.3">
      <c r="A7" s="200" t="s">
        <v>81</v>
      </c>
      <c r="B7" s="202">
        <v>16030</v>
      </c>
      <c r="C7" s="203">
        <v>69354</v>
      </c>
      <c r="D7" s="204">
        <v>10</v>
      </c>
      <c r="E7" s="205">
        <v>2312</v>
      </c>
      <c r="F7" s="204">
        <v>-31816</v>
      </c>
      <c r="G7" s="205">
        <v>27780</v>
      </c>
      <c r="H7" s="204">
        <v>133454</v>
      </c>
      <c r="I7" s="205">
        <v>174616</v>
      </c>
      <c r="J7" s="204">
        <v>1642</v>
      </c>
      <c r="K7" s="205">
        <v>1037</v>
      </c>
      <c r="L7" s="204">
        <v>71138</v>
      </c>
      <c r="M7" s="205">
        <v>262014</v>
      </c>
      <c r="N7" s="204">
        <v>5296</v>
      </c>
      <c r="O7" s="205">
        <v>222542</v>
      </c>
      <c r="P7" s="204">
        <v>11057</v>
      </c>
      <c r="Q7" s="205">
        <v>55172</v>
      </c>
      <c r="R7" s="204"/>
      <c r="S7" s="205"/>
      <c r="T7" s="204">
        <v>107325</v>
      </c>
      <c r="U7" s="365">
        <v>152751</v>
      </c>
      <c r="V7" s="204">
        <v>250435</v>
      </c>
      <c r="W7" s="365">
        <v>649108</v>
      </c>
      <c r="X7" s="204">
        <v>92964</v>
      </c>
      <c r="Y7" s="365">
        <v>473463</v>
      </c>
      <c r="Z7" s="206">
        <v>3027</v>
      </c>
      <c r="AA7" s="364">
        <v>9305</v>
      </c>
      <c r="AB7" s="204">
        <v>12277</v>
      </c>
      <c r="AC7" s="205">
        <v>52037</v>
      </c>
      <c r="AD7" s="204"/>
      <c r="AE7" s="205"/>
      <c r="AF7" s="204">
        <v>361843</v>
      </c>
      <c r="AG7" s="205">
        <v>1116874</v>
      </c>
      <c r="AH7" s="204">
        <v>6822</v>
      </c>
      <c r="AI7" s="205">
        <v>39074</v>
      </c>
      <c r="AJ7" s="204">
        <v>66601</v>
      </c>
      <c r="AK7" s="205">
        <v>146886</v>
      </c>
      <c r="AL7" s="204"/>
      <c r="AM7" s="205"/>
      <c r="AN7" s="735">
        <v>94667</v>
      </c>
      <c r="AO7" s="736">
        <v>275794</v>
      </c>
      <c r="AP7" s="207">
        <v>166460</v>
      </c>
      <c r="AQ7" s="208">
        <v>492322</v>
      </c>
      <c r="AR7" s="210">
        <v>5165</v>
      </c>
      <c r="AS7" s="211">
        <v>99170</v>
      </c>
      <c r="AT7" s="204">
        <v>74101</v>
      </c>
      <c r="AU7" s="205">
        <v>145936</v>
      </c>
      <c r="AV7" s="213">
        <f t="shared" si="0"/>
        <v>1448498</v>
      </c>
      <c r="AW7" s="569">
        <f t="shared" si="1"/>
        <v>4467547</v>
      </c>
      <c r="AX7" s="209">
        <v>107412</v>
      </c>
      <c r="AY7" s="211">
        <v>282823</v>
      </c>
      <c r="AZ7" s="511">
        <f t="shared" si="2"/>
        <v>1555910</v>
      </c>
      <c r="BA7" s="214">
        <f t="shared" si="3"/>
        <v>4750370</v>
      </c>
    </row>
    <row r="8" spans="1:53" x14ac:dyDescent="0.3">
      <c r="A8" s="200" t="s">
        <v>82</v>
      </c>
      <c r="B8" s="202">
        <v>129907</v>
      </c>
      <c r="C8" s="203">
        <v>487364</v>
      </c>
      <c r="D8" s="204">
        <v>23789</v>
      </c>
      <c r="E8" s="205">
        <v>120195</v>
      </c>
      <c r="F8" s="204">
        <v>61618</v>
      </c>
      <c r="G8" s="205">
        <v>354272</v>
      </c>
      <c r="H8" s="204">
        <f>91432+68347</f>
        <v>159779</v>
      </c>
      <c r="I8" s="205">
        <f>4425+90731+260566</f>
        <v>355722</v>
      </c>
      <c r="J8" s="204">
        <v>63744</v>
      </c>
      <c r="K8" s="205">
        <v>212253</v>
      </c>
      <c r="L8" s="204">
        <v>44442</v>
      </c>
      <c r="M8" s="205">
        <v>206541</v>
      </c>
      <c r="N8" s="204">
        <v>41516</v>
      </c>
      <c r="O8" s="205">
        <v>151221</v>
      </c>
      <c r="P8" s="204">
        <v>52786</v>
      </c>
      <c r="Q8" s="205">
        <v>215141</v>
      </c>
      <c r="R8" s="204">
        <v>148184</v>
      </c>
      <c r="S8" s="205">
        <v>620454</v>
      </c>
      <c r="T8" s="204">
        <v>73494</v>
      </c>
      <c r="U8" s="365">
        <v>258220</v>
      </c>
      <c r="V8" s="204">
        <v>224462</v>
      </c>
      <c r="W8" s="365">
        <v>790829</v>
      </c>
      <c r="X8" s="204">
        <v>368063</v>
      </c>
      <c r="Y8" s="365">
        <v>1223975</v>
      </c>
      <c r="Z8" s="206">
        <v>16529</v>
      </c>
      <c r="AA8" s="364">
        <v>64524</v>
      </c>
      <c r="AB8" s="204">
        <v>23105</v>
      </c>
      <c r="AC8" s="205">
        <v>116887</v>
      </c>
      <c r="AD8" s="204">
        <v>115584</v>
      </c>
      <c r="AE8" s="205">
        <v>474255</v>
      </c>
      <c r="AF8" s="204">
        <v>179847</v>
      </c>
      <c r="AG8" s="205">
        <v>688721</v>
      </c>
      <c r="AH8" s="204">
        <v>124771</v>
      </c>
      <c r="AI8" s="205">
        <v>427552</v>
      </c>
      <c r="AJ8" s="204">
        <f>147663+106639</f>
        <v>254302</v>
      </c>
      <c r="AK8" s="205">
        <f>528390+401668</f>
        <v>930058</v>
      </c>
      <c r="AL8" s="204"/>
      <c r="AM8" s="205"/>
      <c r="AN8" s="735">
        <v>173924</v>
      </c>
      <c r="AO8" s="736">
        <v>622453</v>
      </c>
      <c r="AP8" s="207">
        <v>66828</v>
      </c>
      <c r="AQ8" s="208">
        <v>295327</v>
      </c>
      <c r="AR8" s="210">
        <v>32827</v>
      </c>
      <c r="AS8" s="211">
        <v>134193</v>
      </c>
      <c r="AT8" s="204">
        <v>53186</v>
      </c>
      <c r="AU8" s="205">
        <v>229991</v>
      </c>
      <c r="AV8" s="213">
        <f t="shared" si="0"/>
        <v>2432687</v>
      </c>
      <c r="AW8" s="569">
        <f t="shared" si="1"/>
        <v>8980148</v>
      </c>
      <c r="AX8" s="209">
        <v>1292684</v>
      </c>
      <c r="AY8" s="211">
        <v>4720611</v>
      </c>
      <c r="AZ8" s="511">
        <f t="shared" si="2"/>
        <v>3725371</v>
      </c>
      <c r="BA8" s="214">
        <f t="shared" si="3"/>
        <v>13700759</v>
      </c>
    </row>
    <row r="9" spans="1:53" x14ac:dyDescent="0.3">
      <c r="A9" s="200" t="s">
        <v>83</v>
      </c>
      <c r="B9" s="202">
        <v>66996</v>
      </c>
      <c r="C9" s="203">
        <v>272297</v>
      </c>
      <c r="D9" s="204">
        <v>2555</v>
      </c>
      <c r="E9" s="205">
        <v>6171</v>
      </c>
      <c r="F9" s="204">
        <v>32264</v>
      </c>
      <c r="G9" s="205">
        <v>162430</v>
      </c>
      <c r="H9" s="204">
        <v>40400</v>
      </c>
      <c r="I9" s="205">
        <v>121545</v>
      </c>
      <c r="J9" s="204">
        <v>7392</v>
      </c>
      <c r="K9" s="205">
        <v>19789</v>
      </c>
      <c r="L9" s="204">
        <v>9356</v>
      </c>
      <c r="M9" s="205">
        <v>34956</v>
      </c>
      <c r="N9" s="204">
        <v>16523</v>
      </c>
      <c r="O9" s="205">
        <v>73995</v>
      </c>
      <c r="P9" s="204">
        <v>34569</v>
      </c>
      <c r="Q9" s="205">
        <v>88895</v>
      </c>
      <c r="R9" s="204">
        <v>103656</v>
      </c>
      <c r="S9" s="205">
        <v>384011</v>
      </c>
      <c r="T9" s="204">
        <v>18839</v>
      </c>
      <c r="U9" s="365">
        <v>87676</v>
      </c>
      <c r="V9" s="204">
        <v>21016</v>
      </c>
      <c r="W9" s="365">
        <v>52278</v>
      </c>
      <c r="X9" s="204">
        <v>86656</v>
      </c>
      <c r="Y9" s="365">
        <v>326290</v>
      </c>
      <c r="Z9" s="206">
        <f>556+6014</f>
        <v>6570</v>
      </c>
      <c r="AA9" s="364">
        <f>30678+2372</f>
        <v>33050</v>
      </c>
      <c r="AB9" s="204">
        <v>8527</v>
      </c>
      <c r="AC9" s="205">
        <v>29871</v>
      </c>
      <c r="AD9" s="204">
        <v>44954</v>
      </c>
      <c r="AE9" s="205">
        <v>195217</v>
      </c>
      <c r="AF9" s="204">
        <v>74780</v>
      </c>
      <c r="AG9" s="205">
        <v>275691</v>
      </c>
      <c r="AH9" s="204">
        <v>6946</v>
      </c>
      <c r="AI9" s="205">
        <v>58283</v>
      </c>
      <c r="AJ9" s="204">
        <v>3007</v>
      </c>
      <c r="AK9" s="205">
        <v>7042</v>
      </c>
      <c r="AL9" s="204"/>
      <c r="AM9" s="205"/>
      <c r="AN9" s="735">
        <v>132424</v>
      </c>
      <c r="AO9" s="736">
        <v>535470</v>
      </c>
      <c r="AP9" s="207">
        <v>651</v>
      </c>
      <c r="AQ9" s="208">
        <v>3528</v>
      </c>
      <c r="AR9" s="210">
        <v>30868</v>
      </c>
      <c r="AS9" s="211">
        <v>111567</v>
      </c>
      <c r="AT9" s="204">
        <v>45093</v>
      </c>
      <c r="AU9" s="205">
        <v>160509</v>
      </c>
      <c r="AV9" s="213">
        <f t="shared" si="0"/>
        <v>794042</v>
      </c>
      <c r="AW9" s="569">
        <f t="shared" si="1"/>
        <v>3040561</v>
      </c>
      <c r="AX9" s="209">
        <v>304066</v>
      </c>
      <c r="AY9" s="211">
        <v>942624</v>
      </c>
      <c r="AZ9" s="511">
        <f t="shared" si="2"/>
        <v>1098108</v>
      </c>
      <c r="BA9" s="214">
        <f t="shared" si="3"/>
        <v>3983185</v>
      </c>
    </row>
    <row r="10" spans="1:53" x14ac:dyDescent="0.3">
      <c r="A10" s="200" t="s">
        <v>84</v>
      </c>
      <c r="B10" s="202">
        <v>24905</v>
      </c>
      <c r="C10" s="203">
        <v>61783</v>
      </c>
      <c r="D10" s="204">
        <v>2707</v>
      </c>
      <c r="E10" s="205">
        <v>9803</v>
      </c>
      <c r="F10" s="204">
        <v>11007</v>
      </c>
      <c r="G10" s="205">
        <v>35459</v>
      </c>
      <c r="H10" s="204">
        <v>120721</v>
      </c>
      <c r="I10" s="205">
        <v>189475</v>
      </c>
      <c r="J10" s="204">
        <v>8634</v>
      </c>
      <c r="K10" s="205">
        <v>30162</v>
      </c>
      <c r="L10" s="204">
        <v>11125</v>
      </c>
      <c r="M10" s="205">
        <v>38313</v>
      </c>
      <c r="N10" s="204">
        <v>3272</v>
      </c>
      <c r="O10" s="205">
        <v>12248</v>
      </c>
      <c r="P10" s="204">
        <v>12027</v>
      </c>
      <c r="Q10" s="205">
        <v>27061</v>
      </c>
      <c r="R10" s="204">
        <v>5615</v>
      </c>
      <c r="S10" s="205">
        <v>29259</v>
      </c>
      <c r="T10" s="204">
        <v>4725</v>
      </c>
      <c r="U10" s="365">
        <v>18719</v>
      </c>
      <c r="V10" s="204">
        <v>32409</v>
      </c>
      <c r="W10" s="365">
        <v>100065</v>
      </c>
      <c r="X10" s="204">
        <v>20828</v>
      </c>
      <c r="Y10" s="365">
        <v>64488</v>
      </c>
      <c r="Z10" s="206">
        <v>6933</v>
      </c>
      <c r="AA10" s="364">
        <v>29566</v>
      </c>
      <c r="AB10" s="204">
        <v>5280</v>
      </c>
      <c r="AC10" s="205">
        <v>19139</v>
      </c>
      <c r="AD10" s="408">
        <v>79593</v>
      </c>
      <c r="AE10" s="741">
        <v>132702</v>
      </c>
      <c r="AF10" s="204">
        <v>31477</v>
      </c>
      <c r="AG10" s="205">
        <v>77021</v>
      </c>
      <c r="AH10" s="204">
        <v>11781</v>
      </c>
      <c r="AI10" s="205">
        <v>39885</v>
      </c>
      <c r="AJ10" s="204">
        <v>16787</v>
      </c>
      <c r="AK10" s="205">
        <v>55241</v>
      </c>
      <c r="AL10" s="204"/>
      <c r="AM10" s="205"/>
      <c r="AN10" s="735">
        <v>32270</v>
      </c>
      <c r="AO10" s="736">
        <v>116073</v>
      </c>
      <c r="AP10" s="207">
        <v>45470</v>
      </c>
      <c r="AQ10" s="208">
        <v>104070</v>
      </c>
      <c r="AR10" s="210">
        <v>5055</v>
      </c>
      <c r="AS10" s="211">
        <v>15781</v>
      </c>
      <c r="AT10" s="204">
        <v>11442</v>
      </c>
      <c r="AU10" s="205">
        <v>39765</v>
      </c>
      <c r="AV10" s="201">
        <f t="shared" si="0"/>
        <v>504063</v>
      </c>
      <c r="AW10" s="695">
        <f t="shared" si="1"/>
        <v>1246078</v>
      </c>
      <c r="AX10" s="212">
        <v>-223765</v>
      </c>
      <c r="AY10" s="205">
        <v>1293618</v>
      </c>
      <c r="AZ10" s="510">
        <f t="shared" si="2"/>
        <v>280298</v>
      </c>
      <c r="BA10" s="696">
        <f t="shared" si="3"/>
        <v>2539696</v>
      </c>
    </row>
    <row r="11" spans="1:53" x14ac:dyDescent="0.3">
      <c r="A11" s="200" t="s">
        <v>85</v>
      </c>
      <c r="B11" s="202">
        <v>29734</v>
      </c>
      <c r="C11" s="203">
        <v>103377</v>
      </c>
      <c r="D11" s="204">
        <v>8995</v>
      </c>
      <c r="E11" s="205">
        <v>23026</v>
      </c>
      <c r="F11" s="204">
        <v>19483</v>
      </c>
      <c r="G11" s="205">
        <v>60577</v>
      </c>
      <c r="H11" s="204">
        <v>262653</v>
      </c>
      <c r="I11" s="205">
        <v>663802</v>
      </c>
      <c r="J11" s="204">
        <v>5508</v>
      </c>
      <c r="K11" s="205">
        <v>25805</v>
      </c>
      <c r="L11" s="204">
        <v>34350</v>
      </c>
      <c r="M11" s="205">
        <v>110923</v>
      </c>
      <c r="N11" s="204">
        <v>7026</v>
      </c>
      <c r="O11" s="205">
        <v>49212</v>
      </c>
      <c r="P11" s="204">
        <v>21610</v>
      </c>
      <c r="Q11" s="205">
        <v>63235</v>
      </c>
      <c r="R11" s="204">
        <v>9081</v>
      </c>
      <c r="S11" s="205">
        <v>51992</v>
      </c>
      <c r="T11" s="204">
        <v>13742</v>
      </c>
      <c r="U11" s="365">
        <v>50658</v>
      </c>
      <c r="V11" s="204">
        <v>86401</v>
      </c>
      <c r="W11" s="365">
        <v>262576</v>
      </c>
      <c r="X11" s="204">
        <v>262714</v>
      </c>
      <c r="Y11" s="365">
        <v>903186</v>
      </c>
      <c r="Z11" s="204">
        <v>14063</v>
      </c>
      <c r="AA11" s="365">
        <v>46615</v>
      </c>
      <c r="AB11" s="204">
        <v>20472</v>
      </c>
      <c r="AC11" s="205">
        <v>71143</v>
      </c>
      <c r="AD11" s="204">
        <v>33865</v>
      </c>
      <c r="AE11" s="205">
        <v>131622</v>
      </c>
      <c r="AF11" s="204">
        <v>168218</v>
      </c>
      <c r="AG11" s="205">
        <v>428724</v>
      </c>
      <c r="AH11" s="204">
        <v>34595</v>
      </c>
      <c r="AI11" s="205">
        <v>148074</v>
      </c>
      <c r="AJ11" s="204">
        <v>50533</v>
      </c>
      <c r="AK11" s="205">
        <v>151561</v>
      </c>
      <c r="AL11" s="204"/>
      <c r="AM11" s="205"/>
      <c r="AN11" s="735">
        <v>157993</v>
      </c>
      <c r="AO11" s="736">
        <v>481616</v>
      </c>
      <c r="AP11" s="207">
        <v>10777</v>
      </c>
      <c r="AQ11" s="208">
        <v>36179</v>
      </c>
      <c r="AR11" s="210">
        <v>8403</v>
      </c>
      <c r="AS11" s="211">
        <v>31278</v>
      </c>
      <c r="AT11" s="204">
        <v>43284</v>
      </c>
      <c r="AU11" s="205">
        <v>149817</v>
      </c>
      <c r="AV11" s="213">
        <f t="shared" si="0"/>
        <v>1303500</v>
      </c>
      <c r="AW11" s="569">
        <f t="shared" si="1"/>
        <v>4044998</v>
      </c>
      <c r="AX11" s="209">
        <v>662442</v>
      </c>
      <c r="AY11" s="211">
        <v>2696959</v>
      </c>
      <c r="AZ11" s="511">
        <f t="shared" si="2"/>
        <v>1965942</v>
      </c>
      <c r="BA11" s="214">
        <f t="shared" si="3"/>
        <v>6741957</v>
      </c>
    </row>
    <row r="12" spans="1:53" x14ac:dyDescent="0.3">
      <c r="A12" s="200" t="s">
        <v>86</v>
      </c>
      <c r="B12" s="202">
        <v>30245</v>
      </c>
      <c r="C12" s="203">
        <v>127406</v>
      </c>
      <c r="D12" s="204">
        <v>4964</v>
      </c>
      <c r="E12" s="205">
        <v>32678</v>
      </c>
      <c r="F12" s="204">
        <v>184347</v>
      </c>
      <c r="G12" s="205">
        <v>252956</v>
      </c>
      <c r="H12" s="204">
        <v>48939</v>
      </c>
      <c r="I12" s="205">
        <v>114723</v>
      </c>
      <c r="J12" s="204">
        <v>243661</v>
      </c>
      <c r="K12" s="205">
        <v>330197</v>
      </c>
      <c r="L12" s="204">
        <v>14553</v>
      </c>
      <c r="M12" s="205">
        <v>60691</v>
      </c>
      <c r="N12" s="204">
        <v>75326</v>
      </c>
      <c r="O12" s="205">
        <v>225210</v>
      </c>
      <c r="P12" s="204">
        <v>21612</v>
      </c>
      <c r="Q12" s="205">
        <v>83584</v>
      </c>
      <c r="R12" s="204">
        <f>28042+180386</f>
        <v>208428</v>
      </c>
      <c r="S12" s="205">
        <f>56272+498383</f>
        <v>554655</v>
      </c>
      <c r="T12" s="204">
        <v>238540</v>
      </c>
      <c r="U12" s="365">
        <v>771210</v>
      </c>
      <c r="V12" s="204">
        <v>444326</v>
      </c>
      <c r="W12" s="365">
        <v>1267865</v>
      </c>
      <c r="X12" s="204">
        <v>182816</v>
      </c>
      <c r="Y12" s="365">
        <v>661268</v>
      </c>
      <c r="Z12" s="204">
        <v>44837</v>
      </c>
      <c r="AA12" s="365">
        <v>173230</v>
      </c>
      <c r="AB12" s="204">
        <v>16475</v>
      </c>
      <c r="AC12" s="205">
        <v>64143</v>
      </c>
      <c r="AD12" s="204">
        <v>41402</v>
      </c>
      <c r="AE12" s="205">
        <v>169693</v>
      </c>
      <c r="AF12" s="204">
        <v>156304</v>
      </c>
      <c r="AG12" s="205">
        <v>303419</v>
      </c>
      <c r="AH12" s="204">
        <v>23958</v>
      </c>
      <c r="AI12" s="205">
        <v>99725</v>
      </c>
      <c r="AJ12" s="204">
        <v>121558</v>
      </c>
      <c r="AK12" s="205">
        <v>308466</v>
      </c>
      <c r="AL12" s="204"/>
      <c r="AM12" s="205"/>
      <c r="AN12" s="735">
        <v>264843</v>
      </c>
      <c r="AO12" s="736">
        <v>896635</v>
      </c>
      <c r="AP12" s="207">
        <v>77805</v>
      </c>
      <c r="AQ12" s="208">
        <v>187103</v>
      </c>
      <c r="AR12" s="210">
        <v>15456</v>
      </c>
      <c r="AS12" s="211">
        <v>65077</v>
      </c>
      <c r="AT12" s="204">
        <v>613719</v>
      </c>
      <c r="AU12" s="205">
        <v>1422865</v>
      </c>
      <c r="AV12" s="213">
        <f t="shared" si="0"/>
        <v>3074114</v>
      </c>
      <c r="AW12" s="569">
        <f t="shared" si="1"/>
        <v>8172799</v>
      </c>
      <c r="AX12" s="209">
        <v>32515</v>
      </c>
      <c r="AY12" s="211">
        <v>128407</v>
      </c>
      <c r="AZ12" s="511">
        <f t="shared" si="2"/>
        <v>3106629</v>
      </c>
      <c r="BA12" s="214">
        <f t="shared" si="3"/>
        <v>8301206</v>
      </c>
    </row>
    <row r="13" spans="1:53" x14ac:dyDescent="0.3">
      <c r="A13" s="200" t="s">
        <v>87</v>
      </c>
      <c r="B13" s="202">
        <v>34688</v>
      </c>
      <c r="C13" s="203">
        <v>78164</v>
      </c>
      <c r="D13" s="204">
        <v>21756</v>
      </c>
      <c r="E13" s="205">
        <v>79624</v>
      </c>
      <c r="F13" s="204">
        <v>3317</v>
      </c>
      <c r="G13" s="205">
        <v>12057</v>
      </c>
      <c r="H13" s="204">
        <v>4538</v>
      </c>
      <c r="I13" s="205">
        <v>16452</v>
      </c>
      <c r="J13" s="204">
        <v>-3446</v>
      </c>
      <c r="K13" s="205">
        <v>20535</v>
      </c>
      <c r="L13" s="204">
        <v>8690</v>
      </c>
      <c r="M13" s="205">
        <v>28434</v>
      </c>
      <c r="N13" s="204">
        <v>3152</v>
      </c>
      <c r="O13" s="205">
        <v>8495</v>
      </c>
      <c r="P13" s="204">
        <v>5773</v>
      </c>
      <c r="Q13" s="205">
        <v>16762</v>
      </c>
      <c r="R13" s="204">
        <v>7339</v>
      </c>
      <c r="S13" s="205">
        <v>25863</v>
      </c>
      <c r="T13" s="204">
        <v>3698</v>
      </c>
      <c r="U13" s="365">
        <v>14938</v>
      </c>
      <c r="V13" s="204">
        <v>57863</v>
      </c>
      <c r="W13" s="365">
        <v>197931</v>
      </c>
      <c r="X13" s="204">
        <v>90426</v>
      </c>
      <c r="Y13" s="365">
        <v>211530</v>
      </c>
      <c r="Z13" s="204">
        <v>4850</v>
      </c>
      <c r="AA13" s="365">
        <v>13606</v>
      </c>
      <c r="AB13" s="204">
        <v>4433</v>
      </c>
      <c r="AC13" s="205">
        <v>15765</v>
      </c>
      <c r="AD13" s="204">
        <v>32300</v>
      </c>
      <c r="AE13" s="205">
        <v>69045</v>
      </c>
      <c r="AF13" s="204">
        <v>71867</v>
      </c>
      <c r="AG13" s="205">
        <v>242499</v>
      </c>
      <c r="AH13" s="204">
        <v>20844</v>
      </c>
      <c r="AI13" s="205">
        <v>54691</v>
      </c>
      <c r="AJ13" s="204">
        <v>8024</v>
      </c>
      <c r="AK13" s="205">
        <v>21503</v>
      </c>
      <c r="AL13" s="204"/>
      <c r="AM13" s="205"/>
      <c r="AN13" s="735">
        <v>77482</v>
      </c>
      <c r="AO13" s="736">
        <v>236233</v>
      </c>
      <c r="AP13" s="207">
        <v>2466</v>
      </c>
      <c r="AQ13" s="208">
        <v>9729</v>
      </c>
      <c r="AR13" s="210">
        <v>3020</v>
      </c>
      <c r="AS13" s="211">
        <v>12515</v>
      </c>
      <c r="AT13" s="204">
        <v>46357</v>
      </c>
      <c r="AU13" s="205">
        <v>123648</v>
      </c>
      <c r="AV13" s="213">
        <f t="shared" si="0"/>
        <v>509437</v>
      </c>
      <c r="AW13" s="569">
        <f t="shared" si="1"/>
        <v>1510019</v>
      </c>
      <c r="AX13" s="209">
        <v>261476</v>
      </c>
      <c r="AY13" s="211">
        <v>582766</v>
      </c>
      <c r="AZ13" s="511">
        <f t="shared" si="2"/>
        <v>770913</v>
      </c>
      <c r="BA13" s="214">
        <f t="shared" si="3"/>
        <v>2092785</v>
      </c>
    </row>
    <row r="14" spans="1:53" x14ac:dyDescent="0.3">
      <c r="A14" s="200" t="s">
        <v>88</v>
      </c>
      <c r="B14" s="202"/>
      <c r="C14" s="203"/>
      <c r="D14" s="204"/>
      <c r="E14" s="205"/>
      <c r="F14" s="204"/>
      <c r="G14" s="205"/>
      <c r="H14" s="204"/>
      <c r="I14" s="205"/>
      <c r="J14" s="204"/>
      <c r="K14" s="205"/>
      <c r="L14" s="204"/>
      <c r="M14" s="205"/>
      <c r="N14" s="204"/>
      <c r="O14" s="205"/>
      <c r="P14" s="204"/>
      <c r="Q14" s="205"/>
      <c r="R14" s="204"/>
      <c r="S14" s="205"/>
      <c r="T14" s="204"/>
      <c r="U14" s="365"/>
      <c r="V14" s="204"/>
      <c r="W14" s="365"/>
      <c r="X14" s="204">
        <v>4009</v>
      </c>
      <c r="Y14" s="365">
        <v>16263</v>
      </c>
      <c r="Z14" s="204"/>
      <c r="AA14" s="365"/>
      <c r="AB14" s="204"/>
      <c r="AC14" s="205"/>
      <c r="AD14" s="204"/>
      <c r="AE14" s="205"/>
      <c r="AF14" s="204"/>
      <c r="AG14" s="205"/>
      <c r="AH14" s="204"/>
      <c r="AI14" s="205"/>
      <c r="AJ14" s="204"/>
      <c r="AK14" s="205"/>
      <c r="AL14" s="204"/>
      <c r="AM14" s="205"/>
      <c r="AN14" s="204"/>
      <c r="AO14" s="205"/>
      <c r="AP14" s="207"/>
      <c r="AQ14" s="208"/>
      <c r="AR14" s="210"/>
      <c r="AS14" s="211"/>
      <c r="AT14" s="204"/>
      <c r="AU14" s="205"/>
      <c r="AV14" s="213">
        <f t="shared" si="0"/>
        <v>4009</v>
      </c>
      <c r="AW14" s="569">
        <f t="shared" si="1"/>
        <v>16263</v>
      </c>
      <c r="AX14" s="209"/>
      <c r="AY14" s="211"/>
      <c r="AZ14" s="511">
        <f t="shared" si="2"/>
        <v>4009</v>
      </c>
      <c r="BA14" s="214">
        <f t="shared" si="3"/>
        <v>16263</v>
      </c>
    </row>
    <row r="15" spans="1:53" x14ac:dyDescent="0.3">
      <c r="A15" s="200" t="s">
        <v>89</v>
      </c>
      <c r="B15" s="202">
        <v>2400</v>
      </c>
      <c r="C15" s="203">
        <v>7800</v>
      </c>
      <c r="D15" s="204">
        <v>875</v>
      </c>
      <c r="E15" s="205">
        <v>3500</v>
      </c>
      <c r="F15" s="204">
        <v>1345</v>
      </c>
      <c r="G15" s="205">
        <v>6658</v>
      </c>
      <c r="H15" s="204">
        <v>2375</v>
      </c>
      <c r="I15" s="205">
        <v>9500</v>
      </c>
      <c r="J15" s="204">
        <v>1150</v>
      </c>
      <c r="K15" s="205">
        <v>4150</v>
      </c>
      <c r="L15" s="204">
        <v>2915</v>
      </c>
      <c r="M15" s="205">
        <v>5063</v>
      </c>
      <c r="N15" s="204">
        <v>700</v>
      </c>
      <c r="O15" s="205">
        <v>2800</v>
      </c>
      <c r="P15" s="204">
        <v>725</v>
      </c>
      <c r="Q15" s="205">
        <v>2300</v>
      </c>
      <c r="R15" s="204">
        <v>250</v>
      </c>
      <c r="S15" s="205">
        <v>3000</v>
      </c>
      <c r="T15" s="204">
        <v>604</v>
      </c>
      <c r="U15" s="365">
        <v>2335</v>
      </c>
      <c r="V15" s="204">
        <v>3800</v>
      </c>
      <c r="W15" s="365">
        <v>9800</v>
      </c>
      <c r="X15" s="204">
        <v>4009</v>
      </c>
      <c r="Y15" s="365">
        <v>16263</v>
      </c>
      <c r="Z15" s="206">
        <v>775</v>
      </c>
      <c r="AA15" s="364">
        <v>3278</v>
      </c>
      <c r="AB15" s="204">
        <v>487</v>
      </c>
      <c r="AC15" s="205">
        <v>2775</v>
      </c>
      <c r="AD15" s="408">
        <v>1727</v>
      </c>
      <c r="AE15" s="741">
        <v>6893</v>
      </c>
      <c r="AF15" s="204">
        <v>2148</v>
      </c>
      <c r="AG15" s="205">
        <v>8598</v>
      </c>
      <c r="AH15" s="204">
        <v>1500</v>
      </c>
      <c r="AI15" s="205">
        <v>6000</v>
      </c>
      <c r="AJ15" s="204">
        <v>2086</v>
      </c>
      <c r="AK15" s="205">
        <v>6268</v>
      </c>
      <c r="AL15" s="204"/>
      <c r="AM15" s="205"/>
      <c r="AN15" s="735">
        <v>950</v>
      </c>
      <c r="AO15" s="736">
        <v>5417</v>
      </c>
      <c r="AP15" s="207">
        <v>375</v>
      </c>
      <c r="AQ15" s="208">
        <v>1900</v>
      </c>
      <c r="AR15" s="210">
        <v>775</v>
      </c>
      <c r="AS15" s="211">
        <v>3105</v>
      </c>
      <c r="AT15" s="204">
        <v>900</v>
      </c>
      <c r="AU15" s="205">
        <v>5209</v>
      </c>
      <c r="AV15" s="201">
        <f t="shared" si="0"/>
        <v>32871</v>
      </c>
      <c r="AW15" s="695">
        <f t="shared" si="1"/>
        <v>122612</v>
      </c>
      <c r="AX15" s="212">
        <v>-14051</v>
      </c>
      <c r="AY15" s="205">
        <v>44967</v>
      </c>
      <c r="AZ15" s="510">
        <f t="shared" si="2"/>
        <v>18820</v>
      </c>
      <c r="BA15" s="696">
        <f t="shared" si="3"/>
        <v>167579</v>
      </c>
    </row>
    <row r="16" spans="1:53" x14ac:dyDescent="0.3">
      <c r="A16" s="200" t="s">
        <v>90</v>
      </c>
      <c r="B16" s="202">
        <v>180</v>
      </c>
      <c r="C16" s="203">
        <v>642</v>
      </c>
      <c r="D16" s="204"/>
      <c r="E16" s="205">
        <v>6</v>
      </c>
      <c r="F16" s="204"/>
      <c r="G16" s="205"/>
      <c r="H16" s="204"/>
      <c r="I16" s="205"/>
      <c r="J16" s="204"/>
      <c r="K16" s="205"/>
      <c r="L16" s="204"/>
      <c r="M16" s="205"/>
      <c r="N16" s="204"/>
      <c r="O16" s="205"/>
      <c r="P16" s="204"/>
      <c r="Q16" s="205"/>
      <c r="R16" s="204"/>
      <c r="S16" s="205"/>
      <c r="T16" s="204"/>
      <c r="U16" s="365"/>
      <c r="V16" s="204"/>
      <c r="W16" s="365"/>
      <c r="X16" s="204"/>
      <c r="Y16" s="365"/>
      <c r="Z16" s="206"/>
      <c r="AA16" s="364"/>
      <c r="AB16" s="204"/>
      <c r="AC16" s="205"/>
      <c r="AD16" s="204"/>
      <c r="AE16" s="205"/>
      <c r="AF16" s="204"/>
      <c r="AG16" s="205"/>
      <c r="AH16" s="204"/>
      <c r="AI16" s="205"/>
      <c r="AJ16" s="204"/>
      <c r="AK16" s="205"/>
      <c r="AL16" s="204"/>
      <c r="AM16" s="205"/>
      <c r="AN16" s="735"/>
      <c r="AO16" s="736"/>
      <c r="AP16" s="207"/>
      <c r="AQ16" s="208"/>
      <c r="AR16" s="210"/>
      <c r="AS16" s="211"/>
      <c r="AT16" s="204"/>
      <c r="AU16" s="205"/>
      <c r="AV16" s="213">
        <f t="shared" si="0"/>
        <v>180</v>
      </c>
      <c r="AW16" s="569">
        <f t="shared" si="1"/>
        <v>648</v>
      </c>
      <c r="AX16" s="212"/>
      <c r="AY16" s="205"/>
      <c r="AZ16" s="511">
        <f t="shared" si="2"/>
        <v>180</v>
      </c>
      <c r="BA16" s="214">
        <f t="shared" si="3"/>
        <v>648</v>
      </c>
    </row>
    <row r="17" spans="1:53" x14ac:dyDescent="0.3">
      <c r="A17" s="200" t="s">
        <v>91</v>
      </c>
      <c r="B17" s="202">
        <v>150</v>
      </c>
      <c r="C17" s="203">
        <v>150</v>
      </c>
      <c r="D17" s="204"/>
      <c r="E17" s="205"/>
      <c r="F17" s="204"/>
      <c r="G17" s="205"/>
      <c r="H17" s="204"/>
      <c r="I17" s="205">
        <v>400</v>
      </c>
      <c r="J17" s="204">
        <v>-113</v>
      </c>
      <c r="K17" s="205">
        <v>150</v>
      </c>
      <c r="L17" s="204"/>
      <c r="M17" s="205">
        <v>325</v>
      </c>
      <c r="N17" s="204">
        <v>350</v>
      </c>
      <c r="O17" s="205">
        <v>350</v>
      </c>
      <c r="P17" s="204"/>
      <c r="Q17" s="205"/>
      <c r="R17" s="204">
        <v>38</v>
      </c>
      <c r="S17" s="205">
        <v>150</v>
      </c>
      <c r="T17" s="204"/>
      <c r="U17" s="365"/>
      <c r="V17" s="204">
        <v>121</v>
      </c>
      <c r="W17" s="365">
        <v>484</v>
      </c>
      <c r="X17" s="204"/>
      <c r="Y17" s="365"/>
      <c r="Z17" s="206"/>
      <c r="AA17" s="364"/>
      <c r="AB17" s="204"/>
      <c r="AC17" s="205"/>
      <c r="AD17" s="204"/>
      <c r="AE17" s="205"/>
      <c r="AF17" s="204">
        <v>88</v>
      </c>
      <c r="AG17" s="205">
        <v>351</v>
      </c>
      <c r="AH17" s="204"/>
      <c r="AI17" s="205"/>
      <c r="AJ17" s="204"/>
      <c r="AK17" s="205"/>
      <c r="AL17" s="204"/>
      <c r="AM17" s="205"/>
      <c r="AN17" s="204"/>
      <c r="AO17" s="205"/>
      <c r="AP17" s="207"/>
      <c r="AQ17" s="208"/>
      <c r="AR17" s="210"/>
      <c r="AS17" s="211"/>
      <c r="AT17" s="204"/>
      <c r="AU17" s="205"/>
      <c r="AV17" s="213">
        <f t="shared" si="0"/>
        <v>634</v>
      </c>
      <c r="AW17" s="569">
        <f t="shared" si="1"/>
        <v>2360</v>
      </c>
      <c r="AX17" s="212">
        <v>184</v>
      </c>
      <c r="AY17" s="205">
        <v>248</v>
      </c>
      <c r="AZ17" s="511">
        <f t="shared" si="2"/>
        <v>818</v>
      </c>
      <c r="BA17" s="214">
        <f t="shared" si="3"/>
        <v>2608</v>
      </c>
    </row>
    <row r="18" spans="1:53" x14ac:dyDescent="0.3">
      <c r="A18" s="200" t="s">
        <v>92</v>
      </c>
      <c r="B18" s="202"/>
      <c r="C18" s="203"/>
      <c r="D18" s="204"/>
      <c r="E18" s="205"/>
      <c r="F18" s="204"/>
      <c r="G18" s="205"/>
      <c r="H18" s="204"/>
      <c r="I18" s="205"/>
      <c r="J18" s="204"/>
      <c r="K18" s="205"/>
      <c r="L18" s="204"/>
      <c r="M18" s="205"/>
      <c r="N18" s="204"/>
      <c r="O18" s="205"/>
      <c r="P18" s="204"/>
      <c r="Q18" s="205"/>
      <c r="R18" s="204"/>
      <c r="S18" s="205"/>
      <c r="T18" s="204"/>
      <c r="U18" s="365"/>
      <c r="V18" s="204"/>
      <c r="W18" s="365"/>
      <c r="X18" s="204"/>
      <c r="Y18" s="365"/>
      <c r="Z18" s="206"/>
      <c r="AA18" s="364"/>
      <c r="AB18" s="204"/>
      <c r="AC18" s="205"/>
      <c r="AD18" s="204"/>
      <c r="AE18" s="205"/>
      <c r="AF18" s="204"/>
      <c r="AG18" s="205"/>
      <c r="AH18" s="204"/>
      <c r="AI18" s="205"/>
      <c r="AJ18" s="204"/>
      <c r="AK18" s="205"/>
      <c r="AL18" s="204"/>
      <c r="AM18" s="205"/>
      <c r="AN18" s="735"/>
      <c r="AO18" s="736"/>
      <c r="AP18" s="207"/>
      <c r="AQ18" s="208"/>
      <c r="AR18" s="210"/>
      <c r="AS18" s="211"/>
      <c r="AT18" s="204"/>
      <c r="AU18" s="205"/>
      <c r="AV18" s="213">
        <f t="shared" si="0"/>
        <v>0</v>
      </c>
      <c r="AW18" s="569">
        <f t="shared" si="1"/>
        <v>0</v>
      </c>
      <c r="AX18" s="212"/>
      <c r="AY18" s="205"/>
      <c r="AZ18" s="511">
        <f t="shared" si="2"/>
        <v>0</v>
      </c>
      <c r="BA18" s="214">
        <f t="shared" si="3"/>
        <v>0</v>
      </c>
    </row>
    <row r="19" spans="1:53" x14ac:dyDescent="0.3">
      <c r="A19" s="200" t="s">
        <v>93</v>
      </c>
      <c r="B19" s="202">
        <v>329</v>
      </c>
      <c r="C19" s="203">
        <v>514</v>
      </c>
      <c r="D19" s="204"/>
      <c r="E19" s="205"/>
      <c r="F19" s="204"/>
      <c r="G19" s="205"/>
      <c r="H19" s="204"/>
      <c r="I19" s="205"/>
      <c r="J19" s="204">
        <v>64</v>
      </c>
      <c r="K19" s="205">
        <v>224</v>
      </c>
      <c r="L19" s="204"/>
      <c r="M19" s="205"/>
      <c r="N19" s="204"/>
      <c r="O19" s="205"/>
      <c r="P19" s="204"/>
      <c r="Q19" s="205"/>
      <c r="R19" s="204"/>
      <c r="S19" s="205"/>
      <c r="T19" s="204"/>
      <c r="U19" s="365"/>
      <c r="V19" s="204"/>
      <c r="W19" s="365"/>
      <c r="X19" s="204"/>
      <c r="Y19" s="365"/>
      <c r="Z19" s="206"/>
      <c r="AA19" s="364"/>
      <c r="AB19" s="204"/>
      <c r="AC19" s="205"/>
      <c r="AD19" s="204"/>
      <c r="AE19" s="205"/>
      <c r="AF19" s="204"/>
      <c r="AG19" s="205"/>
      <c r="AH19" s="204">
        <v>712</v>
      </c>
      <c r="AI19" s="205">
        <v>1205</v>
      </c>
      <c r="AJ19" s="204"/>
      <c r="AK19" s="205"/>
      <c r="AL19" s="204"/>
      <c r="AM19" s="205"/>
      <c r="AN19" s="737"/>
      <c r="AO19" s="738"/>
      <c r="AP19" s="207"/>
      <c r="AQ19" s="208"/>
      <c r="AR19" s="210"/>
      <c r="AS19" s="211"/>
      <c r="AT19" s="204"/>
      <c r="AU19" s="205"/>
      <c r="AV19" s="213">
        <f t="shared" si="0"/>
        <v>1105</v>
      </c>
      <c r="AW19" s="569">
        <f t="shared" si="1"/>
        <v>1943</v>
      </c>
      <c r="AX19" s="212"/>
      <c r="AY19" s="205"/>
      <c r="AZ19" s="511">
        <f t="shared" si="2"/>
        <v>1105</v>
      </c>
      <c r="BA19" s="214">
        <f t="shared" si="3"/>
        <v>1943</v>
      </c>
    </row>
    <row r="20" spans="1:53" x14ac:dyDescent="0.3">
      <c r="A20" s="200" t="s">
        <v>94</v>
      </c>
      <c r="B20" s="202"/>
      <c r="C20" s="203"/>
      <c r="D20" s="204">
        <v>10</v>
      </c>
      <c r="E20" s="205">
        <v>30</v>
      </c>
      <c r="F20" s="204">
        <v>125</v>
      </c>
      <c r="G20" s="205">
        <v>705</v>
      </c>
      <c r="H20" s="204">
        <v>255</v>
      </c>
      <c r="I20" s="205">
        <v>475</v>
      </c>
      <c r="J20" s="204">
        <v>15</v>
      </c>
      <c r="K20" s="205">
        <v>135</v>
      </c>
      <c r="L20" s="204"/>
      <c r="M20" s="205">
        <v>400</v>
      </c>
      <c r="N20" s="204">
        <v>347</v>
      </c>
      <c r="O20" s="205">
        <v>1680</v>
      </c>
      <c r="P20" s="204"/>
      <c r="Q20" s="205"/>
      <c r="R20" s="204">
        <v>-734</v>
      </c>
      <c r="S20" s="205">
        <v>755</v>
      </c>
      <c r="T20" s="204">
        <v>276</v>
      </c>
      <c r="U20" s="365">
        <v>1106</v>
      </c>
      <c r="V20" s="204">
        <v>-1013</v>
      </c>
      <c r="W20" s="365">
        <v>3911</v>
      </c>
      <c r="X20" s="204"/>
      <c r="Y20" s="365"/>
      <c r="Z20" s="206">
        <v>62</v>
      </c>
      <c r="AA20" s="364">
        <v>260</v>
      </c>
      <c r="AB20" s="204"/>
      <c r="AC20" s="205">
        <v>62.5</v>
      </c>
      <c r="AD20" s="408">
        <v>684</v>
      </c>
      <c r="AE20" s="741">
        <v>784</v>
      </c>
      <c r="AF20" s="204">
        <v>514</v>
      </c>
      <c r="AG20" s="205">
        <v>2051</v>
      </c>
      <c r="AH20" s="215">
        <v>34</v>
      </c>
      <c r="AI20" s="205">
        <v>134</v>
      </c>
      <c r="AJ20" s="204">
        <v>143</v>
      </c>
      <c r="AK20" s="205">
        <v>557</v>
      </c>
      <c r="AL20" s="204"/>
      <c r="AM20" s="205"/>
      <c r="AN20" s="735">
        <v>131</v>
      </c>
      <c r="AO20" s="736">
        <v>1266</v>
      </c>
      <c r="AP20" s="207"/>
      <c r="AQ20" s="208"/>
      <c r="AR20" s="210">
        <v>235</v>
      </c>
      <c r="AS20" s="211">
        <v>2881</v>
      </c>
      <c r="AT20" s="204">
        <v>151</v>
      </c>
      <c r="AU20" s="205">
        <v>661</v>
      </c>
      <c r="AV20" s="201">
        <f t="shared" si="0"/>
        <v>1235</v>
      </c>
      <c r="AW20" s="695">
        <f t="shared" si="1"/>
        <v>17853.5</v>
      </c>
      <c r="AX20" s="212"/>
      <c r="AY20" s="205"/>
      <c r="AZ20" s="510">
        <f t="shared" si="2"/>
        <v>1235</v>
      </c>
      <c r="BA20" s="696">
        <f t="shared" si="3"/>
        <v>17853.5</v>
      </c>
    </row>
    <row r="21" spans="1:53" ht="17.25" x14ac:dyDescent="0.35">
      <c r="A21" s="200" t="s">
        <v>95</v>
      </c>
      <c r="B21" s="202"/>
      <c r="C21" s="203"/>
      <c r="D21" s="204"/>
      <c r="E21" s="205"/>
      <c r="F21" s="204"/>
      <c r="G21" s="205"/>
      <c r="H21" s="204">
        <v>286</v>
      </c>
      <c r="I21" s="205">
        <v>1260</v>
      </c>
      <c r="J21" s="204"/>
      <c r="K21" s="205"/>
      <c r="L21" s="204"/>
      <c r="M21" s="205"/>
      <c r="N21" s="204">
        <v>244</v>
      </c>
      <c r="O21" s="205">
        <v>966</v>
      </c>
      <c r="P21" s="204">
        <v>55</v>
      </c>
      <c r="Q21" s="205">
        <v>200</v>
      </c>
      <c r="R21" s="204">
        <v>-12</v>
      </c>
      <c r="S21" s="205">
        <v>226</v>
      </c>
      <c r="T21" s="204"/>
      <c r="U21" s="365"/>
      <c r="V21" s="204"/>
      <c r="W21" s="365"/>
      <c r="X21" s="204"/>
      <c r="Y21" s="365"/>
      <c r="Z21" s="206"/>
      <c r="AA21" s="364"/>
      <c r="AB21" s="204"/>
      <c r="AC21" s="205"/>
      <c r="AD21" s="204"/>
      <c r="AE21" s="205"/>
      <c r="AF21" s="204">
        <v>388</v>
      </c>
      <c r="AG21" s="205">
        <v>1213</v>
      </c>
      <c r="AH21" s="216"/>
      <c r="AI21" s="205"/>
      <c r="AJ21" s="204"/>
      <c r="AK21" s="205"/>
      <c r="AL21" s="204"/>
      <c r="AM21" s="205"/>
      <c r="AN21" s="204"/>
      <c r="AO21" s="205"/>
      <c r="AP21" s="207"/>
      <c r="AQ21" s="208"/>
      <c r="AR21" s="210"/>
      <c r="AS21" s="211"/>
      <c r="AT21" s="204">
        <v>47</v>
      </c>
      <c r="AU21" s="205">
        <v>190</v>
      </c>
      <c r="AV21" s="213">
        <f t="shared" si="0"/>
        <v>1008</v>
      </c>
      <c r="AW21" s="569">
        <f t="shared" si="1"/>
        <v>4055</v>
      </c>
      <c r="AX21" s="209"/>
      <c r="AY21" s="211"/>
      <c r="AZ21" s="511">
        <f t="shared" si="2"/>
        <v>1008</v>
      </c>
      <c r="BA21" s="214">
        <f t="shared" si="3"/>
        <v>4055</v>
      </c>
    </row>
    <row r="22" spans="1:53" x14ac:dyDescent="0.3">
      <c r="A22" s="200" t="s">
        <v>96</v>
      </c>
      <c r="B22" s="202">
        <v>132225</v>
      </c>
      <c r="C22" s="203">
        <v>467439</v>
      </c>
      <c r="D22" s="204">
        <v>202394</v>
      </c>
      <c r="E22" s="205">
        <v>583497</v>
      </c>
      <c r="F22" s="204">
        <v>141966</v>
      </c>
      <c r="G22" s="205">
        <v>353974</v>
      </c>
      <c r="H22" s="204">
        <v>434790</v>
      </c>
      <c r="I22" s="205">
        <v>656280</v>
      </c>
      <c r="J22" s="204">
        <v>593688</v>
      </c>
      <c r="K22" s="205">
        <v>2001500</v>
      </c>
      <c r="L22" s="204">
        <v>110615</v>
      </c>
      <c r="M22" s="205">
        <v>248660</v>
      </c>
      <c r="N22" s="204">
        <v>-105318</v>
      </c>
      <c r="O22" s="205">
        <v>606273</v>
      </c>
      <c r="P22" s="204">
        <v>80609</v>
      </c>
      <c r="Q22" s="205">
        <v>210237</v>
      </c>
      <c r="R22" s="204">
        <v>124873</v>
      </c>
      <c r="S22" s="205">
        <v>402939</v>
      </c>
      <c r="T22" s="204">
        <v>99810</v>
      </c>
      <c r="U22" s="365">
        <v>1219147</v>
      </c>
      <c r="V22" s="204">
        <v>2593580</v>
      </c>
      <c r="W22" s="365">
        <v>7159761</v>
      </c>
      <c r="X22" s="204">
        <v>1229964</v>
      </c>
      <c r="Y22" s="365"/>
      <c r="Z22" s="206">
        <v>55946</v>
      </c>
      <c r="AA22" s="364">
        <v>245006</v>
      </c>
      <c r="AB22" s="204">
        <v>91651</v>
      </c>
      <c r="AC22" s="205">
        <v>214634</v>
      </c>
      <c r="AD22" s="204">
        <v>-69555</v>
      </c>
      <c r="AE22" s="205">
        <v>637170</v>
      </c>
      <c r="AF22" s="204">
        <v>611220</v>
      </c>
      <c r="AG22" s="205">
        <v>2142717</v>
      </c>
      <c r="AH22" s="204">
        <v>87421</v>
      </c>
      <c r="AI22" s="205">
        <v>229188</v>
      </c>
      <c r="AJ22" s="204">
        <v>152938</v>
      </c>
      <c r="AK22" s="205">
        <v>434820</v>
      </c>
      <c r="AL22" s="204"/>
      <c r="AM22" s="205"/>
      <c r="AN22" s="735">
        <v>274864</v>
      </c>
      <c r="AO22" s="736">
        <v>817063</v>
      </c>
      <c r="AP22" s="207">
        <v>93736</v>
      </c>
      <c r="AQ22" s="208">
        <v>319838</v>
      </c>
      <c r="AR22" s="210">
        <v>19548</v>
      </c>
      <c r="AS22" s="211">
        <v>156081</v>
      </c>
      <c r="AT22" s="204">
        <v>213565</v>
      </c>
      <c r="AU22" s="205">
        <v>639344</v>
      </c>
      <c r="AV22" s="213">
        <f t="shared" si="0"/>
        <v>7170530</v>
      </c>
      <c r="AW22" s="569">
        <f t="shared" si="1"/>
        <v>19745568</v>
      </c>
      <c r="AX22" s="209">
        <v>2924307</v>
      </c>
      <c r="AY22" s="211">
        <v>5055198</v>
      </c>
      <c r="AZ22" s="511">
        <f t="shared" si="2"/>
        <v>10094837</v>
      </c>
      <c r="BA22" s="214">
        <f t="shared" si="3"/>
        <v>24800766</v>
      </c>
    </row>
    <row r="23" spans="1:53" x14ac:dyDescent="0.3">
      <c r="A23" s="200" t="s">
        <v>97</v>
      </c>
      <c r="B23" s="202">
        <v>7619</v>
      </c>
      <c r="C23" s="203">
        <v>58338</v>
      </c>
      <c r="D23" s="204">
        <v>2648</v>
      </c>
      <c r="E23" s="205">
        <v>28408</v>
      </c>
      <c r="F23" s="204">
        <v>9079</v>
      </c>
      <c r="G23" s="205">
        <v>30014</v>
      </c>
      <c r="H23" s="204">
        <v>24232</v>
      </c>
      <c r="I23" s="205">
        <v>73364</v>
      </c>
      <c r="J23" s="204">
        <v>7023</v>
      </c>
      <c r="K23" s="205">
        <v>21817</v>
      </c>
      <c r="L23" s="204">
        <v>11248</v>
      </c>
      <c r="M23" s="205">
        <v>39574</v>
      </c>
      <c r="N23" s="204">
        <v>4328</v>
      </c>
      <c r="O23" s="205">
        <v>15113</v>
      </c>
      <c r="P23" s="204">
        <v>4346</v>
      </c>
      <c r="Q23" s="205">
        <v>10462</v>
      </c>
      <c r="R23" s="204">
        <v>19391</v>
      </c>
      <c r="S23" s="205">
        <v>61462</v>
      </c>
      <c r="T23" s="204">
        <v>2278</v>
      </c>
      <c r="U23" s="365">
        <v>11521</v>
      </c>
      <c r="V23" s="204">
        <v>39231</v>
      </c>
      <c r="W23" s="365">
        <v>107567</v>
      </c>
      <c r="X23" s="204">
        <v>59138</v>
      </c>
      <c r="Y23" s="365"/>
      <c r="Z23" s="206">
        <v>3310</v>
      </c>
      <c r="AA23" s="364">
        <v>11096</v>
      </c>
      <c r="AB23" s="204">
        <v>4569</v>
      </c>
      <c r="AC23" s="205">
        <v>14018</v>
      </c>
      <c r="AD23" s="204">
        <v>6238</v>
      </c>
      <c r="AE23" s="205">
        <v>34628</v>
      </c>
      <c r="AF23" s="408">
        <v>37511</v>
      </c>
      <c r="AG23" s="205">
        <v>109202</v>
      </c>
      <c r="AH23" s="204">
        <v>21553</v>
      </c>
      <c r="AI23" s="205">
        <v>73400</v>
      </c>
      <c r="AJ23" s="204">
        <v>22798</v>
      </c>
      <c r="AK23" s="205">
        <v>79058</v>
      </c>
      <c r="AL23" s="204"/>
      <c r="AM23" s="205"/>
      <c r="AN23" s="735">
        <v>14655</v>
      </c>
      <c r="AO23" s="736">
        <v>60611</v>
      </c>
      <c r="AP23" s="207">
        <v>2241</v>
      </c>
      <c r="AQ23" s="208">
        <v>13162</v>
      </c>
      <c r="AR23" s="210">
        <v>1030</v>
      </c>
      <c r="AS23" s="211">
        <v>2896</v>
      </c>
      <c r="AT23" s="204">
        <v>14066</v>
      </c>
      <c r="AU23" s="205">
        <v>40677</v>
      </c>
      <c r="AV23" s="213">
        <f t="shared" si="0"/>
        <v>318532</v>
      </c>
      <c r="AW23" s="569">
        <f t="shared" si="1"/>
        <v>896388</v>
      </c>
      <c r="AX23" s="209">
        <v>177001</v>
      </c>
      <c r="AY23" s="211">
        <v>460201</v>
      </c>
      <c r="AZ23" s="511">
        <f t="shared" si="2"/>
        <v>495533</v>
      </c>
      <c r="BA23" s="214">
        <f t="shared" si="3"/>
        <v>1356589</v>
      </c>
    </row>
    <row r="24" spans="1:53" x14ac:dyDescent="0.3">
      <c r="A24" s="200" t="s">
        <v>98</v>
      </c>
      <c r="B24" s="202">
        <v>7011</v>
      </c>
      <c r="C24" s="203">
        <v>19487</v>
      </c>
      <c r="D24" s="204"/>
      <c r="E24" s="205"/>
      <c r="F24" s="204"/>
      <c r="G24" s="205"/>
      <c r="H24" s="204"/>
      <c r="I24" s="205"/>
      <c r="J24" s="204">
        <v>223204</v>
      </c>
      <c r="K24" s="205">
        <v>458794</v>
      </c>
      <c r="L24" s="204"/>
      <c r="M24" s="205"/>
      <c r="N24" s="204">
        <v>2227</v>
      </c>
      <c r="O24" s="205">
        <v>23164</v>
      </c>
      <c r="P24" s="204"/>
      <c r="Q24" s="205"/>
      <c r="R24" s="204">
        <v>10391</v>
      </c>
      <c r="S24" s="205">
        <v>27094</v>
      </c>
      <c r="T24" s="204"/>
      <c r="U24" s="365"/>
      <c r="V24" s="204"/>
      <c r="W24" s="365"/>
      <c r="X24" s="204"/>
      <c r="Y24" s="365"/>
      <c r="Z24" s="206"/>
      <c r="AA24" s="364"/>
      <c r="AB24" s="204"/>
      <c r="AC24" s="205"/>
      <c r="AD24" s="204"/>
      <c r="AE24" s="205"/>
      <c r="AF24" s="204">
        <v>25965</v>
      </c>
      <c r="AG24" s="205">
        <v>159906</v>
      </c>
      <c r="AH24" s="204">
        <v>9778</v>
      </c>
      <c r="AI24" s="205">
        <v>70561</v>
      </c>
      <c r="AJ24" s="204"/>
      <c r="AK24" s="205"/>
      <c r="AL24" s="204"/>
      <c r="AM24" s="205"/>
      <c r="AN24" s="735">
        <v>2421</v>
      </c>
      <c r="AO24" s="736">
        <v>9469</v>
      </c>
      <c r="AP24" s="207"/>
      <c r="AQ24" s="208"/>
      <c r="AR24" s="210"/>
      <c r="AS24" s="211"/>
      <c r="AT24" s="204"/>
      <c r="AU24" s="205"/>
      <c r="AV24" s="213">
        <f t="shared" si="0"/>
        <v>280997</v>
      </c>
      <c r="AW24" s="569">
        <f t="shared" si="1"/>
        <v>768475</v>
      </c>
      <c r="AX24" s="209"/>
      <c r="AY24" s="211"/>
      <c r="AZ24" s="511">
        <f t="shared" si="2"/>
        <v>280997</v>
      </c>
      <c r="BA24" s="214">
        <f t="shared" si="3"/>
        <v>768475</v>
      </c>
    </row>
    <row r="25" spans="1:53" x14ac:dyDescent="0.3">
      <c r="A25" s="200" t="s">
        <v>99</v>
      </c>
      <c r="B25" s="202">
        <v>164996</v>
      </c>
      <c r="C25" s="203">
        <v>595544</v>
      </c>
      <c r="D25" s="204">
        <v>57289</v>
      </c>
      <c r="E25" s="205">
        <v>213393</v>
      </c>
      <c r="F25" s="204">
        <v>39994</v>
      </c>
      <c r="G25" s="205">
        <v>160678</v>
      </c>
      <c r="H25" s="204">
        <v>241276</v>
      </c>
      <c r="I25" s="205">
        <v>635010</v>
      </c>
      <c r="J25" s="204">
        <v>144903</v>
      </c>
      <c r="K25" s="205">
        <v>429488</v>
      </c>
      <c r="L25" s="204">
        <v>66598</v>
      </c>
      <c r="M25" s="205">
        <v>268014</v>
      </c>
      <c r="N25" s="204">
        <v>69649</v>
      </c>
      <c r="O25" s="205">
        <v>177203</v>
      </c>
      <c r="P25" s="204">
        <v>33070</v>
      </c>
      <c r="Q25" s="205">
        <v>92593</v>
      </c>
      <c r="R25" s="204"/>
      <c r="S25" s="205"/>
      <c r="T25" s="204">
        <v>7934</v>
      </c>
      <c r="U25" s="365">
        <v>91560</v>
      </c>
      <c r="V25" s="204">
        <v>268002</v>
      </c>
      <c r="W25" s="365">
        <v>867744</v>
      </c>
      <c r="X25" s="204">
        <v>60185</v>
      </c>
      <c r="Y25" s="365">
        <v>250460</v>
      </c>
      <c r="Z25" s="206">
        <v>29724</v>
      </c>
      <c r="AA25" s="364">
        <v>119373</v>
      </c>
      <c r="AB25" s="204">
        <v>81638</v>
      </c>
      <c r="AC25" s="205">
        <v>307566</v>
      </c>
      <c r="AD25" s="408">
        <v>62412</v>
      </c>
      <c r="AE25" s="741">
        <v>239152</v>
      </c>
      <c r="AF25" s="204">
        <v>144321</v>
      </c>
      <c r="AG25" s="205">
        <v>428560</v>
      </c>
      <c r="AH25" s="204">
        <v>46358</v>
      </c>
      <c r="AI25" s="205">
        <v>238339</v>
      </c>
      <c r="AJ25" s="204">
        <v>73607</v>
      </c>
      <c r="AK25" s="205">
        <v>289086</v>
      </c>
      <c r="AL25" s="204"/>
      <c r="AM25" s="205"/>
      <c r="AN25" s="735">
        <v>187819</v>
      </c>
      <c r="AO25" s="736">
        <v>541653</v>
      </c>
      <c r="AP25" s="207">
        <v>15750</v>
      </c>
      <c r="AQ25" s="208">
        <v>63000</v>
      </c>
      <c r="AR25" s="210">
        <v>33904</v>
      </c>
      <c r="AS25" s="211">
        <v>148064</v>
      </c>
      <c r="AT25" s="204">
        <v>94883</v>
      </c>
      <c r="AU25" s="205">
        <v>364869</v>
      </c>
      <c r="AV25" s="201">
        <f t="shared" si="0"/>
        <v>1924312</v>
      </c>
      <c r="AW25" s="695">
        <f t="shared" si="1"/>
        <v>6521349</v>
      </c>
      <c r="AX25" s="212"/>
      <c r="AY25" s="205"/>
      <c r="AZ25" s="510">
        <f t="shared" si="2"/>
        <v>1924312</v>
      </c>
      <c r="BA25" s="696">
        <f t="shared" si="3"/>
        <v>6521349</v>
      </c>
    </row>
    <row r="26" spans="1:53" x14ac:dyDescent="0.3">
      <c r="A26" s="200" t="s">
        <v>100</v>
      </c>
      <c r="B26" s="202"/>
      <c r="C26" s="203"/>
      <c r="D26" s="204">
        <v>1016</v>
      </c>
      <c r="E26" s="205">
        <v>3561</v>
      </c>
      <c r="F26" s="204">
        <v>8033</v>
      </c>
      <c r="G26" s="205">
        <v>19337</v>
      </c>
      <c r="H26" s="204"/>
      <c r="I26" s="205"/>
      <c r="J26" s="204">
        <v>-4</v>
      </c>
      <c r="K26" s="205">
        <v>6417</v>
      </c>
      <c r="L26" s="204"/>
      <c r="M26" s="205"/>
      <c r="N26" s="204"/>
      <c r="O26" s="205"/>
      <c r="P26" s="204">
        <v>4853</v>
      </c>
      <c r="Q26" s="205">
        <v>9717</v>
      </c>
      <c r="R26" s="204">
        <f>-69+231</f>
        <v>162</v>
      </c>
      <c r="S26" s="205">
        <f>1533+9300</f>
        <v>10833</v>
      </c>
      <c r="T26" s="204">
        <v>2413</v>
      </c>
      <c r="U26" s="365">
        <v>14949</v>
      </c>
      <c r="V26" s="204">
        <v>27527</v>
      </c>
      <c r="W26" s="365">
        <v>79559</v>
      </c>
      <c r="X26" s="204">
        <v>56182</v>
      </c>
      <c r="Y26" s="365"/>
      <c r="Z26" s="206"/>
      <c r="AA26" s="364"/>
      <c r="AB26" s="204"/>
      <c r="AC26" s="205"/>
      <c r="AD26" s="204">
        <v>30036</v>
      </c>
      <c r="AE26" s="205">
        <v>46784</v>
      </c>
      <c r="AF26" s="207">
        <f>23536+11699</f>
        <v>35235</v>
      </c>
      <c r="AG26" s="205">
        <f>100227+169759</f>
        <v>269986</v>
      </c>
      <c r="AH26" s="204"/>
      <c r="AI26" s="205"/>
      <c r="AJ26" s="204"/>
      <c r="AK26" s="205"/>
      <c r="AL26" s="204"/>
      <c r="AM26" s="205"/>
      <c r="AN26" s="735">
        <v>909</v>
      </c>
      <c r="AO26" s="736">
        <v>25296</v>
      </c>
      <c r="AP26" s="207">
        <v>-12923</v>
      </c>
      <c r="AQ26" s="208">
        <v>11772</v>
      </c>
      <c r="AR26" s="210">
        <v>8400</v>
      </c>
      <c r="AS26" s="211">
        <v>9436</v>
      </c>
      <c r="AT26" s="204"/>
      <c r="AU26" s="205"/>
      <c r="AV26" s="213">
        <f t="shared" si="0"/>
        <v>161839</v>
      </c>
      <c r="AW26" s="569">
        <f t="shared" si="1"/>
        <v>507647</v>
      </c>
      <c r="AX26" s="209">
        <v>10644988</v>
      </c>
      <c r="AY26" s="211">
        <v>30576682</v>
      </c>
      <c r="AZ26" s="511">
        <f t="shared" si="2"/>
        <v>10806827</v>
      </c>
      <c r="BA26" s="214">
        <f t="shared" si="3"/>
        <v>31084329</v>
      </c>
    </row>
    <row r="27" spans="1:53" x14ac:dyDescent="0.3">
      <c r="A27" s="200" t="s">
        <v>101</v>
      </c>
      <c r="B27" s="202">
        <v>72975</v>
      </c>
      <c r="C27" s="203">
        <v>214876</v>
      </c>
      <c r="D27" s="204">
        <v>28340</v>
      </c>
      <c r="E27" s="205">
        <v>76709</v>
      </c>
      <c r="F27" s="204"/>
      <c r="G27" s="205"/>
      <c r="H27" s="204">
        <v>146087</v>
      </c>
      <c r="I27" s="205">
        <v>396982</v>
      </c>
      <c r="J27" s="204">
        <v>23535</v>
      </c>
      <c r="K27" s="205">
        <v>102849</v>
      </c>
      <c r="L27" s="204"/>
      <c r="M27" s="205"/>
      <c r="N27" s="204">
        <v>77137</v>
      </c>
      <c r="O27" s="205">
        <v>270919</v>
      </c>
      <c r="P27" s="204">
        <v>13596</v>
      </c>
      <c r="Q27" s="205">
        <v>44763</v>
      </c>
      <c r="R27" s="204"/>
      <c r="S27" s="205"/>
      <c r="T27" s="204"/>
      <c r="U27" s="365"/>
      <c r="V27" s="204">
        <v>264823</v>
      </c>
      <c r="W27" s="365">
        <v>823526</v>
      </c>
      <c r="X27" s="204"/>
      <c r="Y27" s="365"/>
      <c r="Z27" s="206">
        <v>8425</v>
      </c>
      <c r="AA27" s="364">
        <v>28156</v>
      </c>
      <c r="AB27" s="204">
        <v>13224</v>
      </c>
      <c r="AC27" s="205">
        <v>66490</v>
      </c>
      <c r="AD27" s="204">
        <v>98624</v>
      </c>
      <c r="AE27" s="205">
        <v>304164</v>
      </c>
      <c r="AF27" s="207">
        <v>229534</v>
      </c>
      <c r="AG27" s="205">
        <v>725214</v>
      </c>
      <c r="AH27" s="204"/>
      <c r="AI27" s="205"/>
      <c r="AJ27" s="204">
        <v>12224</v>
      </c>
      <c r="AK27" s="205">
        <v>31607</v>
      </c>
      <c r="AL27" s="204"/>
      <c r="AM27" s="205"/>
      <c r="AN27" s="735">
        <v>175502</v>
      </c>
      <c r="AO27" s="736">
        <v>552192</v>
      </c>
      <c r="AP27" s="207"/>
      <c r="AQ27" s="208"/>
      <c r="AR27" s="210">
        <v>8763</v>
      </c>
      <c r="AS27" s="211">
        <v>29920</v>
      </c>
      <c r="AT27" s="204">
        <v>45734</v>
      </c>
      <c r="AU27" s="205">
        <v>157282</v>
      </c>
      <c r="AV27" s="213">
        <f t="shared" si="0"/>
        <v>1218523</v>
      </c>
      <c r="AW27" s="569">
        <f t="shared" si="1"/>
        <v>3825649</v>
      </c>
      <c r="AX27" s="209">
        <v>412872</v>
      </c>
      <c r="AY27" s="211">
        <v>2108950</v>
      </c>
      <c r="AZ27" s="511">
        <f t="shared" si="2"/>
        <v>1631395</v>
      </c>
      <c r="BA27" s="214">
        <f t="shared" si="3"/>
        <v>5934599</v>
      </c>
    </row>
    <row r="28" spans="1:53" x14ac:dyDescent="0.3">
      <c r="A28" s="200" t="s">
        <v>102</v>
      </c>
      <c r="B28" s="202"/>
      <c r="C28" s="203"/>
      <c r="D28" s="204">
        <v>27155</v>
      </c>
      <c r="E28" s="205">
        <v>87973</v>
      </c>
      <c r="F28" s="204">
        <v>24893</v>
      </c>
      <c r="G28" s="205">
        <v>97309</v>
      </c>
      <c r="H28" s="204">
        <v>62316</v>
      </c>
      <c r="I28" s="205">
        <v>229561</v>
      </c>
      <c r="J28" s="204">
        <v>22102</v>
      </c>
      <c r="K28" s="205">
        <v>73143</v>
      </c>
      <c r="L28" s="204">
        <v>13095</v>
      </c>
      <c r="M28" s="205">
        <v>57681</v>
      </c>
      <c r="N28" s="204">
        <v>58585</v>
      </c>
      <c r="O28" s="205">
        <v>203234</v>
      </c>
      <c r="P28" s="204">
        <v>60556</v>
      </c>
      <c r="Q28" s="205">
        <v>155509</v>
      </c>
      <c r="R28" s="204">
        <v>29225</v>
      </c>
      <c r="S28" s="205">
        <v>99298</v>
      </c>
      <c r="T28" s="204">
        <v>38348</v>
      </c>
      <c r="U28" s="365">
        <v>144129</v>
      </c>
      <c r="V28" s="204">
        <v>104975</v>
      </c>
      <c r="W28" s="365">
        <v>398445</v>
      </c>
      <c r="X28" s="204">
        <v>121938</v>
      </c>
      <c r="Y28" s="365">
        <v>436760</v>
      </c>
      <c r="Z28" s="206">
        <v>27812</v>
      </c>
      <c r="AA28" s="364">
        <v>105956</v>
      </c>
      <c r="AB28" s="204">
        <v>33370</v>
      </c>
      <c r="AC28" s="205">
        <v>111713</v>
      </c>
      <c r="AD28" s="204">
        <v>81612</v>
      </c>
      <c r="AE28" s="205">
        <v>305040</v>
      </c>
      <c r="AF28" s="207">
        <v>158012</v>
      </c>
      <c r="AG28" s="205">
        <v>608542</v>
      </c>
      <c r="AH28" s="204">
        <v>73691</v>
      </c>
      <c r="AI28" s="205">
        <v>226225</v>
      </c>
      <c r="AJ28" s="204">
        <v>79262</v>
      </c>
      <c r="AK28" s="205">
        <v>202397</v>
      </c>
      <c r="AL28" s="204"/>
      <c r="AM28" s="205"/>
      <c r="AN28" s="735">
        <v>165843</v>
      </c>
      <c r="AO28" s="736">
        <v>590034</v>
      </c>
      <c r="AP28" s="207">
        <v>14351</v>
      </c>
      <c r="AQ28" s="208">
        <v>61179</v>
      </c>
      <c r="AR28" s="210">
        <v>36121</v>
      </c>
      <c r="AS28" s="211">
        <v>122658</v>
      </c>
      <c r="AT28" s="204">
        <f>109251+4375</f>
        <v>113626</v>
      </c>
      <c r="AU28" s="205">
        <f>377395+17501</f>
        <v>394896</v>
      </c>
      <c r="AV28" s="213">
        <f t="shared" si="0"/>
        <v>1346888</v>
      </c>
      <c r="AW28" s="569">
        <f t="shared" si="1"/>
        <v>4711682</v>
      </c>
      <c r="AX28" s="209">
        <v>818620</v>
      </c>
      <c r="AY28" s="211">
        <v>30576682</v>
      </c>
      <c r="AZ28" s="511">
        <f t="shared" si="2"/>
        <v>2165508</v>
      </c>
      <c r="BA28" s="214">
        <f t="shared" si="3"/>
        <v>35288364</v>
      </c>
    </row>
    <row r="29" spans="1:53" x14ac:dyDescent="0.3">
      <c r="A29" s="200" t="s">
        <v>103</v>
      </c>
      <c r="B29" s="202">
        <v>-694</v>
      </c>
      <c r="C29" s="203">
        <v>-1555</v>
      </c>
      <c r="D29" s="204"/>
      <c r="E29" s="205"/>
      <c r="F29" s="204"/>
      <c r="G29" s="205"/>
      <c r="H29" s="204"/>
      <c r="I29" s="205"/>
      <c r="J29" s="204"/>
      <c r="K29" s="205"/>
      <c r="L29" s="204"/>
      <c r="M29" s="205"/>
      <c r="N29" s="204">
        <v>-157</v>
      </c>
      <c r="O29" s="205">
        <v>-371</v>
      </c>
      <c r="P29" s="204">
        <v>1392</v>
      </c>
      <c r="Q29" s="205">
        <v>1180</v>
      </c>
      <c r="R29" s="204"/>
      <c r="S29" s="205"/>
      <c r="T29" s="204"/>
      <c r="U29" s="365"/>
      <c r="V29" s="204"/>
      <c r="W29" s="365"/>
      <c r="X29" s="204"/>
      <c r="Y29" s="365"/>
      <c r="Z29" s="206"/>
      <c r="AA29" s="364"/>
      <c r="AB29" s="204"/>
      <c r="AC29" s="205"/>
      <c r="AD29" s="204"/>
      <c r="AE29" s="205"/>
      <c r="AF29" s="207"/>
      <c r="AG29" s="205"/>
      <c r="AH29" s="204">
        <v>-5119</v>
      </c>
      <c r="AI29" s="205">
        <v>-5119</v>
      </c>
      <c r="AJ29" s="204"/>
      <c r="AK29" s="205"/>
      <c r="AL29" s="204"/>
      <c r="AM29" s="205"/>
      <c r="AN29" s="735"/>
      <c r="AO29" s="736"/>
      <c r="AP29" s="207"/>
      <c r="AQ29" s="208"/>
      <c r="AR29" s="210"/>
      <c r="AS29" s="211"/>
      <c r="AT29" s="204"/>
      <c r="AU29" s="205"/>
      <c r="AV29" s="213">
        <f t="shared" si="0"/>
        <v>-4578</v>
      </c>
      <c r="AW29" s="569">
        <f t="shared" si="1"/>
        <v>-5865</v>
      </c>
      <c r="AX29" s="209"/>
      <c r="AY29" s="211"/>
      <c r="AZ29" s="511">
        <f t="shared" si="2"/>
        <v>-4578</v>
      </c>
      <c r="BA29" s="214">
        <f t="shared" si="3"/>
        <v>-5865</v>
      </c>
    </row>
    <row r="30" spans="1:53" x14ac:dyDescent="0.3">
      <c r="A30" s="200" t="s">
        <v>104</v>
      </c>
      <c r="B30" s="202">
        <v>131361</v>
      </c>
      <c r="C30" s="203">
        <v>296582</v>
      </c>
      <c r="D30" s="204"/>
      <c r="E30" s="205"/>
      <c r="F30" s="204"/>
      <c r="G30" s="205"/>
      <c r="H30" s="204"/>
      <c r="I30" s="205"/>
      <c r="J30" s="204"/>
      <c r="K30" s="205"/>
      <c r="L30" s="204"/>
      <c r="M30" s="205"/>
      <c r="N30" s="204">
        <v>10955</v>
      </c>
      <c r="O30" s="205">
        <v>36681</v>
      </c>
      <c r="P30" s="204"/>
      <c r="Q30" s="205"/>
      <c r="R30" s="204"/>
      <c r="S30" s="205"/>
      <c r="T30" s="204"/>
      <c r="U30" s="365"/>
      <c r="V30" s="204"/>
      <c r="W30" s="365"/>
      <c r="X30" s="204"/>
      <c r="Y30" s="365"/>
      <c r="Z30" s="206"/>
      <c r="AA30" s="364"/>
      <c r="AB30" s="204"/>
      <c r="AC30" s="205"/>
      <c r="AD30" s="204"/>
      <c r="AE30" s="205"/>
      <c r="AF30" s="207"/>
      <c r="AG30" s="205"/>
      <c r="AH30" s="204"/>
      <c r="AI30" s="205"/>
      <c r="AJ30" s="204"/>
      <c r="AK30" s="205"/>
      <c r="AL30" s="204"/>
      <c r="AM30" s="205"/>
      <c r="AN30" s="735"/>
      <c r="AO30" s="736"/>
      <c r="AP30" s="207"/>
      <c r="AQ30" s="208"/>
      <c r="AR30" s="210"/>
      <c r="AS30" s="211"/>
      <c r="AT30" s="204"/>
      <c r="AU30" s="205"/>
      <c r="AV30" s="213">
        <f t="shared" si="0"/>
        <v>142316</v>
      </c>
      <c r="AW30" s="569">
        <f t="shared" si="1"/>
        <v>333263</v>
      </c>
      <c r="AX30" s="209">
        <v>13935962</v>
      </c>
      <c r="AY30" s="211">
        <v>27473893</v>
      </c>
      <c r="AZ30" s="511">
        <f t="shared" si="2"/>
        <v>14078278</v>
      </c>
      <c r="BA30" s="214">
        <f t="shared" si="3"/>
        <v>27807156</v>
      </c>
    </row>
    <row r="31" spans="1:53" x14ac:dyDescent="0.3">
      <c r="A31" s="200" t="s">
        <v>105</v>
      </c>
      <c r="B31" s="202"/>
      <c r="C31" s="203"/>
      <c r="D31" s="204">
        <v>25716</v>
      </c>
      <c r="E31" s="205">
        <v>67225</v>
      </c>
      <c r="F31" s="204"/>
      <c r="G31" s="205"/>
      <c r="H31" s="215">
        <v>-239722</v>
      </c>
      <c r="I31" s="205">
        <v>772717</v>
      </c>
      <c r="J31" s="204"/>
      <c r="K31" s="205"/>
      <c r="L31" s="204"/>
      <c r="M31" s="205"/>
      <c r="N31" s="204">
        <v>193725</v>
      </c>
      <c r="O31" s="205">
        <v>745348</v>
      </c>
      <c r="P31" s="204">
        <v>266469</v>
      </c>
      <c r="Q31" s="205">
        <v>408297</v>
      </c>
      <c r="R31" s="204">
        <v>342335</v>
      </c>
      <c r="S31" s="205">
        <v>1471099</v>
      </c>
      <c r="T31" s="204"/>
      <c r="U31" s="365"/>
      <c r="V31" s="204">
        <v>2318893</v>
      </c>
      <c r="W31" s="365">
        <v>4914023</v>
      </c>
      <c r="X31" s="204"/>
      <c r="Y31" s="365"/>
      <c r="Z31" s="206">
        <v>-32597</v>
      </c>
      <c r="AA31" s="364">
        <v>115336</v>
      </c>
      <c r="AB31" s="204"/>
      <c r="AC31" s="205"/>
      <c r="AD31" s="204">
        <v>205444</v>
      </c>
      <c r="AE31" s="205">
        <v>818247</v>
      </c>
      <c r="AF31" s="207"/>
      <c r="AG31" s="205"/>
      <c r="AH31" s="204">
        <v>289789</v>
      </c>
      <c r="AI31" s="205">
        <v>744609</v>
      </c>
      <c r="AJ31" s="204">
        <v>177785</v>
      </c>
      <c r="AK31" s="205">
        <v>430930</v>
      </c>
      <c r="AL31" s="204"/>
      <c r="AM31" s="205"/>
      <c r="AN31" s="735">
        <v>210220</v>
      </c>
      <c r="AO31" s="736">
        <v>484055</v>
      </c>
      <c r="AP31" s="207"/>
      <c r="AQ31" s="208"/>
      <c r="AR31" s="210">
        <v>1768</v>
      </c>
      <c r="AS31" s="211">
        <v>101472</v>
      </c>
      <c r="AT31" s="204">
        <f>73839+2922</f>
        <v>76761</v>
      </c>
      <c r="AU31" s="205">
        <f>137412+6321</f>
        <v>143733</v>
      </c>
      <c r="AV31" s="213">
        <f t="shared" si="0"/>
        <v>3836586</v>
      </c>
      <c r="AW31" s="569">
        <f t="shared" si="1"/>
        <v>11217091</v>
      </c>
      <c r="AX31" s="209"/>
      <c r="AY31" s="211"/>
      <c r="AZ31" s="511">
        <f t="shared" si="2"/>
        <v>3836586</v>
      </c>
      <c r="BA31" s="214">
        <f t="shared" si="3"/>
        <v>11217091</v>
      </c>
    </row>
    <row r="32" spans="1:53" x14ac:dyDescent="0.3">
      <c r="A32" s="200" t="s">
        <v>106</v>
      </c>
      <c r="B32" s="202"/>
      <c r="C32" s="203"/>
      <c r="D32" s="204">
        <v>14486</v>
      </c>
      <c r="E32" s="205">
        <v>77441</v>
      </c>
      <c r="F32" s="204"/>
      <c r="G32" s="205"/>
      <c r="H32" s="204"/>
      <c r="I32" s="205"/>
      <c r="J32" s="204"/>
      <c r="K32" s="205"/>
      <c r="L32" s="204"/>
      <c r="M32" s="205"/>
      <c r="N32" s="204"/>
      <c r="O32" s="205"/>
      <c r="P32" s="204">
        <v>53133</v>
      </c>
      <c r="Q32" s="205">
        <v>90768</v>
      </c>
      <c r="R32" s="204"/>
      <c r="S32" s="205"/>
      <c r="T32" s="204"/>
      <c r="U32" s="365"/>
      <c r="V32" s="204"/>
      <c r="W32" s="365"/>
      <c r="X32" s="204">
        <f>217762+61146</f>
        <v>278908</v>
      </c>
      <c r="Y32" s="365">
        <f>801302+203672</f>
        <v>1004974</v>
      </c>
      <c r="Z32" s="206"/>
      <c r="AA32" s="364"/>
      <c r="AB32" s="204"/>
      <c r="AC32" s="205"/>
      <c r="AD32" s="204">
        <v>127681</v>
      </c>
      <c r="AE32" s="205">
        <v>127708</v>
      </c>
      <c r="AF32" s="207"/>
      <c r="AG32" s="205"/>
      <c r="AH32" s="204"/>
      <c r="AI32" s="205"/>
      <c r="AJ32" s="204">
        <v>54862</v>
      </c>
      <c r="AK32" s="205">
        <v>265913</v>
      </c>
      <c r="AL32" s="204"/>
      <c r="AM32" s="205"/>
      <c r="AN32" s="735"/>
      <c r="AO32" s="736"/>
      <c r="AP32" s="207"/>
      <c r="AQ32" s="208"/>
      <c r="AR32" s="210"/>
      <c r="AS32" s="211"/>
      <c r="AT32" s="204"/>
      <c r="AU32" s="205"/>
      <c r="AV32" s="213">
        <f t="shared" si="0"/>
        <v>529070</v>
      </c>
      <c r="AW32" s="569">
        <f t="shared" si="1"/>
        <v>1566804</v>
      </c>
      <c r="AX32" s="209"/>
      <c r="AY32" s="211"/>
      <c r="AZ32" s="511">
        <f t="shared" si="2"/>
        <v>529070</v>
      </c>
      <c r="BA32" s="214">
        <f t="shared" si="3"/>
        <v>1566804</v>
      </c>
    </row>
    <row r="33" spans="1:53" x14ac:dyDescent="0.3">
      <c r="A33" s="200" t="s">
        <v>107</v>
      </c>
      <c r="B33" s="202"/>
      <c r="C33" s="203"/>
      <c r="D33" s="204">
        <v>5257</v>
      </c>
      <c r="E33" s="205">
        <v>22466</v>
      </c>
      <c r="F33" s="204"/>
      <c r="G33" s="205"/>
      <c r="H33" s="204">
        <v>58411</v>
      </c>
      <c r="I33" s="205">
        <v>210881</v>
      </c>
      <c r="J33" s="204">
        <f>8158+9330+2332+5556+531</f>
        <v>25907</v>
      </c>
      <c r="K33" s="205">
        <f>23516+30927+10028+15051+8572</f>
        <v>88094</v>
      </c>
      <c r="L33" s="204"/>
      <c r="M33" s="205"/>
      <c r="N33" s="204"/>
      <c r="O33" s="205"/>
      <c r="P33" s="204"/>
      <c r="Q33" s="205"/>
      <c r="R33" s="204"/>
      <c r="S33" s="205"/>
      <c r="T33" s="204">
        <v>2466</v>
      </c>
      <c r="U33" s="365">
        <v>8512</v>
      </c>
      <c r="V33" s="204">
        <v>191148</v>
      </c>
      <c r="W33" s="365">
        <v>699952</v>
      </c>
      <c r="X33" s="204">
        <v>341222</v>
      </c>
      <c r="Y33" s="365">
        <v>1498484</v>
      </c>
      <c r="Z33" s="206"/>
      <c r="AA33" s="364"/>
      <c r="AB33" s="204">
        <v>6112</v>
      </c>
      <c r="AC33" s="205">
        <v>22995</v>
      </c>
      <c r="AD33" s="204">
        <v>75511</v>
      </c>
      <c r="AE33" s="205">
        <v>371803</v>
      </c>
      <c r="AF33" s="207">
        <f>3488+11340</f>
        <v>14828</v>
      </c>
      <c r="AG33" s="205">
        <f>15665+63145</f>
        <v>78810</v>
      </c>
      <c r="AH33" s="204">
        <v>29875</v>
      </c>
      <c r="AI33" s="205">
        <v>125252</v>
      </c>
      <c r="AJ33" s="204">
        <v>21849</v>
      </c>
      <c r="AK33" s="205">
        <v>111318</v>
      </c>
      <c r="AL33" s="204"/>
      <c r="AM33" s="205"/>
      <c r="AN33" s="735"/>
      <c r="AO33" s="736"/>
      <c r="AP33" s="207"/>
      <c r="AQ33" s="208"/>
      <c r="AR33" s="210"/>
      <c r="AS33" s="211"/>
      <c r="AT33" s="204">
        <v>23702</v>
      </c>
      <c r="AU33" s="215">
        <v>142146</v>
      </c>
      <c r="AV33" s="213">
        <f t="shared" si="0"/>
        <v>796288</v>
      </c>
      <c r="AW33" s="569">
        <f t="shared" si="1"/>
        <v>3380713</v>
      </c>
      <c r="AX33" s="209"/>
      <c r="AY33" s="211"/>
      <c r="AZ33" s="511">
        <f t="shared" si="2"/>
        <v>796288</v>
      </c>
      <c r="BA33" s="214">
        <f t="shared" si="3"/>
        <v>3380713</v>
      </c>
    </row>
    <row r="34" spans="1:53" x14ac:dyDescent="0.3">
      <c r="A34" s="200" t="s">
        <v>108</v>
      </c>
      <c r="B34" s="202">
        <v>32310</v>
      </c>
      <c r="C34" s="203">
        <v>138382</v>
      </c>
      <c r="D34" s="204">
        <v>2189</v>
      </c>
      <c r="E34" s="205">
        <v>15882</v>
      </c>
      <c r="F34" s="204">
        <v>10734</v>
      </c>
      <c r="G34" s="205">
        <v>52556</v>
      </c>
      <c r="H34" s="204">
        <v>65698</v>
      </c>
      <c r="I34" s="205">
        <v>168801</v>
      </c>
      <c r="J34" s="204">
        <v>16457</v>
      </c>
      <c r="K34" s="205">
        <v>50366</v>
      </c>
      <c r="L34" s="204"/>
      <c r="M34" s="205"/>
      <c r="N34" s="204">
        <v>5793</v>
      </c>
      <c r="O34" s="205">
        <v>29960</v>
      </c>
      <c r="P34" s="204"/>
      <c r="Q34" s="205"/>
      <c r="R34" s="204">
        <v>9040</v>
      </c>
      <c r="S34" s="205">
        <v>73035</v>
      </c>
      <c r="T34" s="204"/>
      <c r="U34" s="365"/>
      <c r="V34" s="204"/>
      <c r="W34" s="365"/>
      <c r="X34" s="204"/>
      <c r="Y34" s="365"/>
      <c r="Z34" s="206">
        <v>2843</v>
      </c>
      <c r="AA34" s="364">
        <v>21957</v>
      </c>
      <c r="AB34" s="204"/>
      <c r="AC34" s="205"/>
      <c r="AD34" s="204">
        <v>16346</v>
      </c>
      <c r="AE34" s="205">
        <v>97815</v>
      </c>
      <c r="AF34" s="207">
        <v>66003</v>
      </c>
      <c r="AG34" s="205">
        <v>264455</v>
      </c>
      <c r="AH34" s="204"/>
      <c r="AI34" s="205"/>
      <c r="AJ34" s="204"/>
      <c r="AK34" s="205"/>
      <c r="AL34" s="204"/>
      <c r="AM34" s="205"/>
      <c r="AN34" s="735"/>
      <c r="AO34" s="736"/>
      <c r="AP34" s="207"/>
      <c r="AQ34" s="208"/>
      <c r="AR34" s="210"/>
      <c r="AS34" s="211"/>
      <c r="AT34" s="204"/>
      <c r="AU34" s="205"/>
      <c r="AV34" s="213">
        <f t="shared" si="0"/>
        <v>227413</v>
      </c>
      <c r="AW34" s="569">
        <f t="shared" si="1"/>
        <v>913209</v>
      </c>
      <c r="AX34" s="209">
        <v>658113</v>
      </c>
      <c r="AY34" s="211">
        <v>2528504</v>
      </c>
      <c r="AZ34" s="511">
        <f t="shared" si="2"/>
        <v>885526</v>
      </c>
      <c r="BA34" s="214">
        <f t="shared" si="3"/>
        <v>3441713</v>
      </c>
    </row>
    <row r="35" spans="1:53" x14ac:dyDescent="0.3">
      <c r="A35" s="200" t="s">
        <v>109</v>
      </c>
      <c r="B35" s="202">
        <v>31479</v>
      </c>
      <c r="C35" s="203">
        <v>94541</v>
      </c>
      <c r="D35" s="204">
        <v>417</v>
      </c>
      <c r="E35" s="205">
        <v>17085</v>
      </c>
      <c r="F35" s="204">
        <v>12812</v>
      </c>
      <c r="G35" s="205">
        <v>39999</v>
      </c>
      <c r="H35" s="204"/>
      <c r="I35" s="205"/>
      <c r="J35" s="204"/>
      <c r="K35" s="205"/>
      <c r="L35" s="204"/>
      <c r="M35" s="205"/>
      <c r="N35" s="204"/>
      <c r="O35" s="205"/>
      <c r="P35" s="204"/>
      <c r="Q35" s="205"/>
      <c r="R35" s="204"/>
      <c r="S35" s="205"/>
      <c r="T35" s="204"/>
      <c r="U35" s="365"/>
      <c r="V35" s="204"/>
      <c r="W35" s="365"/>
      <c r="X35" s="204"/>
      <c r="Y35" s="365"/>
      <c r="Z35" s="206"/>
      <c r="AA35" s="364"/>
      <c r="AB35" s="204"/>
      <c r="AC35" s="205"/>
      <c r="AD35" s="204">
        <v>16486</v>
      </c>
      <c r="AE35" s="205">
        <v>61697</v>
      </c>
      <c r="AF35" s="207"/>
      <c r="AG35" s="205"/>
      <c r="AH35" s="204"/>
      <c r="AI35" s="205"/>
      <c r="AJ35" s="204"/>
      <c r="AK35" s="205"/>
      <c r="AL35" s="204"/>
      <c r="AM35" s="205"/>
      <c r="AN35" s="735"/>
      <c r="AO35" s="736"/>
      <c r="AP35" s="207"/>
      <c r="AQ35" s="208"/>
      <c r="AR35" s="210"/>
      <c r="AS35" s="211"/>
      <c r="AT35" s="215"/>
      <c r="AU35" s="215"/>
      <c r="AV35" s="213">
        <f t="shared" si="0"/>
        <v>61194</v>
      </c>
      <c r="AW35" s="569">
        <f t="shared" si="1"/>
        <v>213322</v>
      </c>
      <c r="AX35" s="209"/>
      <c r="AY35" s="211"/>
      <c r="AZ35" s="511">
        <f t="shared" si="2"/>
        <v>61194</v>
      </c>
      <c r="BA35" s="214">
        <f t="shared" si="3"/>
        <v>213322</v>
      </c>
    </row>
    <row r="36" spans="1:53" x14ac:dyDescent="0.3">
      <c r="A36" s="200" t="s">
        <v>110</v>
      </c>
      <c r="B36" s="202">
        <v>21378</v>
      </c>
      <c r="C36" s="203">
        <v>66191</v>
      </c>
      <c r="D36" s="204">
        <v>-6324</v>
      </c>
      <c r="E36" s="205">
        <v>3952</v>
      </c>
      <c r="F36" s="204">
        <v>1786</v>
      </c>
      <c r="G36" s="205">
        <v>16486</v>
      </c>
      <c r="H36" s="204">
        <v>78698</v>
      </c>
      <c r="I36" s="205">
        <v>179110</v>
      </c>
      <c r="J36" s="204">
        <v>19107</v>
      </c>
      <c r="K36" s="205">
        <v>64905</v>
      </c>
      <c r="L36" s="204">
        <v>30180</v>
      </c>
      <c r="M36" s="205">
        <v>140157</v>
      </c>
      <c r="N36" s="204">
        <f>12+58674</f>
        <v>58686</v>
      </c>
      <c r="O36" s="205">
        <f>162420-1157</f>
        <v>161263</v>
      </c>
      <c r="P36" s="204">
        <v>5293</v>
      </c>
      <c r="Q36" s="205">
        <v>21215</v>
      </c>
      <c r="R36" s="204">
        <f>3113+1428</f>
        <v>4541</v>
      </c>
      <c r="S36" s="205">
        <f>19204+4911</f>
        <v>24115</v>
      </c>
      <c r="T36" s="204">
        <v>2321</v>
      </c>
      <c r="U36" s="365">
        <v>7688</v>
      </c>
      <c r="V36" s="204">
        <v>11514</v>
      </c>
      <c r="W36" s="365">
        <v>46057</v>
      </c>
      <c r="X36" s="204">
        <v>25359</v>
      </c>
      <c r="Y36" s="365">
        <v>137751</v>
      </c>
      <c r="Z36" s="206">
        <f>4627-3787</f>
        <v>840</v>
      </c>
      <c r="AA36" s="364">
        <f>21463+3360+1325</f>
        <v>26148</v>
      </c>
      <c r="AB36" s="204"/>
      <c r="AC36" s="205"/>
      <c r="AD36" s="408">
        <f>4846+211193</f>
        <v>216039</v>
      </c>
      <c r="AE36" s="741">
        <f>13907+211193</f>
        <v>225100</v>
      </c>
      <c r="AF36" s="207">
        <f>182+9793</f>
        <v>9975</v>
      </c>
      <c r="AG36" s="205">
        <f>954+69164</f>
        <v>70118</v>
      </c>
      <c r="AH36" s="204">
        <v>23617</v>
      </c>
      <c r="AI36" s="205">
        <v>36736</v>
      </c>
      <c r="AJ36" s="204">
        <v>32537</v>
      </c>
      <c r="AK36" s="205">
        <v>58086</v>
      </c>
      <c r="AL36" s="204"/>
      <c r="AM36" s="205"/>
      <c r="AN36" s="735">
        <v>283669</v>
      </c>
      <c r="AO36" s="736">
        <v>763007</v>
      </c>
      <c r="AP36" s="207">
        <v>91688</v>
      </c>
      <c r="AQ36" s="208">
        <v>407018</v>
      </c>
      <c r="AR36" s="210">
        <v>7046</v>
      </c>
      <c r="AS36" s="211">
        <v>25545</v>
      </c>
      <c r="AT36" s="204">
        <v>3650</v>
      </c>
      <c r="AU36" s="205">
        <v>8870</v>
      </c>
      <c r="AV36" s="201">
        <f t="shared" si="0"/>
        <v>921600</v>
      </c>
      <c r="AW36" s="695">
        <f t="shared" si="1"/>
        <v>2489518</v>
      </c>
      <c r="AX36" s="212">
        <f>341939+11993+15565+1297499</f>
        <v>1666996</v>
      </c>
      <c r="AY36" s="205">
        <f>1305993+106427+40332+4320461</f>
        <v>5773213</v>
      </c>
      <c r="AZ36" s="510">
        <f t="shared" si="2"/>
        <v>2588596</v>
      </c>
      <c r="BA36" s="696">
        <f t="shared" si="3"/>
        <v>8262731</v>
      </c>
    </row>
    <row r="37" spans="1:53" x14ac:dyDescent="0.3">
      <c r="A37" s="217" t="s">
        <v>111</v>
      </c>
      <c r="B37" s="226">
        <v>80964</v>
      </c>
      <c r="C37" s="227">
        <v>235530</v>
      </c>
      <c r="D37" s="220"/>
      <c r="E37" s="221"/>
      <c r="F37" s="220"/>
      <c r="G37" s="221"/>
      <c r="H37" s="220"/>
      <c r="I37" s="221"/>
      <c r="J37" s="220"/>
      <c r="K37" s="221"/>
      <c r="L37" s="220"/>
      <c r="M37" s="221"/>
      <c r="N37" s="220"/>
      <c r="O37" s="221"/>
      <c r="P37" s="220"/>
      <c r="Q37" s="221"/>
      <c r="R37" s="220"/>
      <c r="S37" s="221"/>
      <c r="T37" s="220">
        <v>22684</v>
      </c>
      <c r="U37" s="367">
        <v>56872</v>
      </c>
      <c r="V37" s="220"/>
      <c r="W37" s="367"/>
      <c r="X37" s="220"/>
      <c r="Y37" s="367"/>
      <c r="Z37" s="219"/>
      <c r="AA37" s="366"/>
      <c r="AB37" s="220">
        <v>19474</v>
      </c>
      <c r="AC37" s="221">
        <v>58521</v>
      </c>
      <c r="AD37" s="742"/>
      <c r="AE37" s="743"/>
      <c r="AF37" s="222"/>
      <c r="AG37" s="221"/>
      <c r="AH37" s="220"/>
      <c r="AI37" s="221"/>
      <c r="AJ37" s="220"/>
      <c r="AK37" s="221"/>
      <c r="AL37" s="220"/>
      <c r="AM37" s="221"/>
      <c r="AN37" s="739"/>
      <c r="AO37" s="740"/>
      <c r="AP37" s="222"/>
      <c r="AQ37" s="223"/>
      <c r="AR37" s="210"/>
      <c r="AS37" s="211"/>
      <c r="AT37" s="220"/>
      <c r="AU37" s="221"/>
      <c r="AV37" s="201">
        <f t="shared" si="0"/>
        <v>123122</v>
      </c>
      <c r="AW37" s="695">
        <f t="shared" si="1"/>
        <v>350923</v>
      </c>
      <c r="AX37" s="228"/>
      <c r="AY37" s="221"/>
      <c r="AZ37" s="510">
        <f t="shared" si="2"/>
        <v>123122</v>
      </c>
      <c r="BA37" s="696">
        <f t="shared" si="3"/>
        <v>350923</v>
      </c>
    </row>
    <row r="38" spans="1:53" ht="17.25" thickBot="1" x14ac:dyDescent="0.35">
      <c r="A38" s="567" t="s">
        <v>112</v>
      </c>
      <c r="B38" s="226">
        <v>-1018874</v>
      </c>
      <c r="C38" s="227">
        <v>-1018874</v>
      </c>
      <c r="D38" s="220">
        <v>99516</v>
      </c>
      <c r="E38" s="221">
        <v>-480193</v>
      </c>
      <c r="F38" s="220"/>
      <c r="G38" s="221"/>
      <c r="H38" s="220"/>
      <c r="I38" s="221"/>
      <c r="J38" s="220">
        <v>-2223656</v>
      </c>
      <c r="K38" s="221"/>
      <c r="L38" s="220"/>
      <c r="M38" s="221"/>
      <c r="N38" s="220"/>
      <c r="O38" s="221"/>
      <c r="P38" s="220">
        <v>-1554173</v>
      </c>
      <c r="Q38" s="221">
        <v>-1554173</v>
      </c>
      <c r="R38" s="220">
        <v>757707</v>
      </c>
      <c r="S38" s="221">
        <v>757707</v>
      </c>
      <c r="T38" s="220"/>
      <c r="U38" s="367"/>
      <c r="V38" s="220"/>
      <c r="W38" s="367"/>
      <c r="X38" s="220"/>
      <c r="Y38" s="367"/>
      <c r="Z38" s="224"/>
      <c r="AA38" s="363"/>
      <c r="AB38" s="220"/>
      <c r="AC38" s="221"/>
      <c r="AD38" s="220"/>
      <c r="AE38" s="221"/>
      <c r="AF38" s="222"/>
      <c r="AG38" s="221"/>
      <c r="AH38" s="220"/>
      <c r="AI38" s="221"/>
      <c r="AJ38" s="220">
        <v>814655</v>
      </c>
      <c r="AK38" s="221">
        <v>814655</v>
      </c>
      <c r="AL38" s="220"/>
      <c r="AM38" s="221"/>
      <c r="AN38" s="220"/>
      <c r="AO38" s="221"/>
      <c r="AP38" s="222"/>
      <c r="AQ38" s="223"/>
      <c r="AR38" s="224"/>
      <c r="AS38" s="225"/>
      <c r="AT38" s="220"/>
      <c r="AU38" s="221"/>
      <c r="AV38" s="218">
        <f t="shared" si="0"/>
        <v>-3124825</v>
      </c>
      <c r="AW38" s="570">
        <f t="shared" si="1"/>
        <v>-1480878</v>
      </c>
      <c r="AX38" s="228"/>
      <c r="AY38" s="221"/>
      <c r="AZ38" s="863">
        <f t="shared" si="2"/>
        <v>-3124825</v>
      </c>
      <c r="BA38" s="229">
        <f t="shared" si="3"/>
        <v>-1480878</v>
      </c>
    </row>
    <row r="39" spans="1:53" s="566" customFormat="1" ht="18.75" thickBot="1" x14ac:dyDescent="0.4">
      <c r="A39" s="744" t="s">
        <v>56</v>
      </c>
      <c r="B39" s="560">
        <v>1602518</v>
      </c>
      <c r="C39" s="560">
        <v>8173649</v>
      </c>
      <c r="D39" s="560">
        <v>763714</v>
      </c>
      <c r="E39" s="560">
        <v>1926082</v>
      </c>
      <c r="F39" s="560">
        <v>1048343</v>
      </c>
      <c r="G39" s="560">
        <v>3746426</v>
      </c>
      <c r="H39" s="560">
        <v>3555723</v>
      </c>
      <c r="I39" s="560">
        <v>12063337</v>
      </c>
      <c r="J39" s="560">
        <v>-87234</v>
      </c>
      <c r="K39" s="560">
        <v>4173050</v>
      </c>
      <c r="L39" s="560">
        <v>1075491</v>
      </c>
      <c r="M39" s="560">
        <v>3653319</v>
      </c>
      <c r="N39" s="560">
        <v>1448305</v>
      </c>
      <c r="O39" s="560">
        <v>6235950</v>
      </c>
      <c r="P39" s="560">
        <v>120914</v>
      </c>
      <c r="Q39" s="560">
        <v>2371460</v>
      </c>
      <c r="R39" s="560">
        <v>1019905</v>
      </c>
      <c r="S39" s="560">
        <v>6130421</v>
      </c>
      <c r="T39" s="560">
        <v>1453932</v>
      </c>
      <c r="U39" s="560">
        <v>5418852</v>
      </c>
      <c r="V39" s="560">
        <v>10998258</v>
      </c>
      <c r="W39" s="560">
        <v>31593039</v>
      </c>
      <c r="X39" s="560">
        <v>6047486</v>
      </c>
      <c r="Y39" s="560">
        <v>20299312</v>
      </c>
      <c r="Z39" s="560">
        <v>778856</v>
      </c>
      <c r="AA39" s="560">
        <v>2599414</v>
      </c>
      <c r="AB39" s="560">
        <v>778907</v>
      </c>
      <c r="AC39" s="562">
        <v>2725051</v>
      </c>
      <c r="AD39" s="560">
        <v>3379188</v>
      </c>
      <c r="AE39" s="562">
        <v>11112579</v>
      </c>
      <c r="AF39" s="563">
        <v>4571166</v>
      </c>
      <c r="AG39" s="562">
        <v>16098725</v>
      </c>
      <c r="AH39" s="560"/>
      <c r="AI39" s="562"/>
      <c r="AJ39" s="560">
        <v>2162807</v>
      </c>
      <c r="AK39" s="562">
        <v>8580014</v>
      </c>
      <c r="AL39" s="560"/>
      <c r="AM39" s="562"/>
      <c r="AN39" s="560">
        <v>4842025</v>
      </c>
      <c r="AO39" s="562">
        <v>17188370</v>
      </c>
      <c r="AP39" s="560">
        <v>1306469</v>
      </c>
      <c r="AQ39" s="562">
        <v>4148094</v>
      </c>
      <c r="AR39" s="564">
        <v>611529</v>
      </c>
      <c r="AS39" s="565">
        <v>2944467</v>
      </c>
      <c r="AT39" s="564">
        <f>SUM(AT5:AT38)</f>
        <v>2691213</v>
      </c>
      <c r="AU39" s="564">
        <f>SUM(AU5:AU38)</f>
        <v>8341553</v>
      </c>
      <c r="AV39" s="560">
        <f t="shared" ref="AV39:BA39" si="4">SUM(AV5:AV38)</f>
        <v>55258763</v>
      </c>
      <c r="AW39" s="560">
        <f t="shared" si="4"/>
        <v>189813461.5</v>
      </c>
      <c r="AX39" s="561">
        <v>104180097</v>
      </c>
      <c r="AY39" s="562">
        <v>301423954</v>
      </c>
      <c r="AZ39" s="560">
        <f t="shared" si="4"/>
        <v>159438860</v>
      </c>
      <c r="BA39" s="562">
        <f t="shared" si="4"/>
        <v>518795740.5</v>
      </c>
    </row>
  </sheetData>
  <mergeCells count="29">
    <mergeCell ref="P3:Q3"/>
    <mergeCell ref="A1:AZ1"/>
    <mergeCell ref="A2:AZ2"/>
    <mergeCell ref="A3:A4"/>
    <mergeCell ref="R3:S3"/>
    <mergeCell ref="T3:U3"/>
    <mergeCell ref="V3:W3"/>
    <mergeCell ref="X3:Y3"/>
    <mergeCell ref="AL3:AM3"/>
    <mergeCell ref="AJ3:AK3"/>
    <mergeCell ref="AX3:AY3"/>
    <mergeCell ref="AZ3:BA3"/>
    <mergeCell ref="B3:C3"/>
    <mergeCell ref="D3:E3"/>
    <mergeCell ref="F3:G3"/>
    <mergeCell ref="H3:I3"/>
    <mergeCell ref="J3:K3"/>
    <mergeCell ref="L3:M3"/>
    <mergeCell ref="N3:O3"/>
    <mergeCell ref="AN3:AO3"/>
    <mergeCell ref="AP3:AQ3"/>
    <mergeCell ref="AR3:AS3"/>
    <mergeCell ref="AT3:AU3"/>
    <mergeCell ref="AV3:AW3"/>
    <mergeCell ref="Z3:AA3"/>
    <mergeCell ref="AB3:AC3"/>
    <mergeCell ref="AD3:AE3"/>
    <mergeCell ref="AF3:AG3"/>
    <mergeCell ref="AH3:AI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39"/>
  <sheetViews>
    <sheetView workbookViewId="0">
      <pane xSplit="1" topLeftCell="B1" activePane="topRight" state="frozen"/>
      <selection pane="topRight" activeCell="G9" sqref="G9"/>
    </sheetView>
    <sheetView workbookViewId="1">
      <selection sqref="A1:IV65536"/>
    </sheetView>
  </sheetViews>
  <sheetFormatPr defaultRowHeight="15" x14ac:dyDescent="0.25"/>
  <cols>
    <col min="1" max="1" width="37.28515625" style="185" bestFit="1" customWidth="1"/>
    <col min="2" max="2" width="11.7109375" bestFit="1" customWidth="1"/>
    <col min="3" max="3" width="12.42578125" bestFit="1" customWidth="1"/>
    <col min="4" max="4" width="11.42578125" bestFit="1" customWidth="1"/>
    <col min="5" max="5" width="12.42578125" style="183" bestFit="1" customWidth="1"/>
    <col min="6" max="6" width="11.42578125" bestFit="1" customWidth="1"/>
    <col min="7" max="7" width="12.42578125" bestFit="1" customWidth="1"/>
    <col min="8" max="8" width="11.42578125" bestFit="1" customWidth="1"/>
    <col min="9" max="9" width="12.42578125" bestFit="1" customWidth="1"/>
    <col min="10" max="10" width="11.42578125" bestFit="1" customWidth="1"/>
    <col min="11" max="11" width="12.42578125" bestFit="1" customWidth="1"/>
    <col min="12" max="12" width="11.42578125" bestFit="1" customWidth="1"/>
    <col min="13" max="13" width="12.42578125" bestFit="1" customWidth="1"/>
    <col min="14" max="14" width="11.42578125" bestFit="1" customWidth="1"/>
    <col min="15" max="15" width="12.42578125" bestFit="1" customWidth="1"/>
    <col min="16" max="16" width="11.42578125" bestFit="1" customWidth="1"/>
    <col min="17" max="17" width="12.42578125" bestFit="1" customWidth="1"/>
    <col min="18" max="18" width="11.42578125" bestFit="1" customWidth="1"/>
    <col min="19" max="19" width="12.42578125" bestFit="1" customWidth="1"/>
    <col min="20" max="20" width="11.42578125" bestFit="1" customWidth="1"/>
    <col min="21" max="21" width="12.42578125" bestFit="1" customWidth="1"/>
    <col min="22" max="22" width="11.42578125" style="183" bestFit="1" customWidth="1"/>
    <col min="23" max="23" width="12.42578125" style="183" bestFit="1" customWidth="1"/>
    <col min="24" max="24" width="11.42578125" bestFit="1" customWidth="1"/>
    <col min="25" max="25" width="12.42578125" bestFit="1" customWidth="1"/>
    <col min="26" max="26" width="11.42578125" bestFit="1" customWidth="1"/>
    <col min="27" max="27" width="12.42578125" bestFit="1" customWidth="1"/>
    <col min="28" max="28" width="11.42578125" bestFit="1" customWidth="1"/>
    <col min="29" max="29" width="12.42578125" bestFit="1" customWidth="1"/>
    <col min="30" max="30" width="11.42578125" bestFit="1" customWidth="1"/>
    <col min="31" max="31" width="12.42578125" bestFit="1" customWidth="1"/>
    <col min="32" max="32" width="11.42578125" bestFit="1" customWidth="1"/>
    <col min="33" max="33" width="12.42578125" bestFit="1" customWidth="1"/>
    <col min="34" max="34" width="11.42578125" bestFit="1" customWidth="1"/>
    <col min="35" max="35" width="12.42578125" bestFit="1" customWidth="1"/>
    <col min="36" max="36" width="11.42578125" bestFit="1" customWidth="1"/>
    <col min="37" max="37" width="12.42578125" bestFit="1" customWidth="1"/>
    <col min="38" max="38" width="11.42578125" bestFit="1" customWidth="1"/>
    <col min="39" max="39" width="12.42578125" bestFit="1" customWidth="1"/>
    <col min="40" max="40" width="11.42578125" customWidth="1"/>
    <col min="41" max="41" width="12.42578125" bestFit="1" customWidth="1"/>
    <col min="42" max="42" width="11.42578125" style="183" bestFit="1" customWidth="1"/>
    <col min="43" max="43" width="12.42578125" style="183" bestFit="1" customWidth="1"/>
    <col min="44" max="44" width="11.42578125" style="183" bestFit="1" customWidth="1"/>
    <col min="45" max="45" width="12.42578125" style="183" bestFit="1" customWidth="1"/>
    <col min="46" max="46" width="11.42578125" style="183" bestFit="1" customWidth="1"/>
    <col min="47" max="47" width="12.42578125" style="183" bestFit="1" customWidth="1"/>
    <col min="48" max="48" width="11.42578125" style="184" bestFit="1" customWidth="1"/>
    <col min="49" max="49" width="12.42578125" style="184" bestFit="1" customWidth="1"/>
    <col min="50" max="50" width="11.42578125" style="184" bestFit="1" customWidth="1"/>
    <col min="51" max="51" width="12.42578125" style="184" bestFit="1" customWidth="1"/>
    <col min="52" max="52" width="11.42578125" style="184" bestFit="1" customWidth="1"/>
    <col min="53" max="53" width="12.42578125" style="184" bestFit="1" customWidth="1"/>
  </cols>
  <sheetData>
    <row r="1" spans="1:53" s="107" customFormat="1" ht="14.25" customHeight="1" x14ac:dyDescent="0.35">
      <c r="A1" s="931" t="s">
        <v>151</v>
      </c>
      <c r="B1" s="931"/>
      <c r="C1" s="931"/>
      <c r="D1" s="931"/>
      <c r="E1" s="931"/>
      <c r="F1" s="931"/>
      <c r="G1" s="931"/>
      <c r="H1" s="931"/>
      <c r="I1" s="931"/>
      <c r="J1" s="931"/>
      <c r="K1" s="931"/>
      <c r="L1" s="931"/>
      <c r="M1" s="931"/>
      <c r="N1" s="931"/>
      <c r="O1" s="931"/>
      <c r="P1" s="931"/>
      <c r="Q1" s="931"/>
      <c r="R1" s="931"/>
      <c r="S1" s="931"/>
      <c r="T1" s="931"/>
      <c r="U1" s="931"/>
      <c r="V1" s="931"/>
      <c r="W1" s="931"/>
      <c r="X1" s="931"/>
      <c r="Y1" s="931"/>
      <c r="Z1" s="931"/>
      <c r="AA1" s="931"/>
      <c r="AB1" s="931"/>
      <c r="AC1" s="931"/>
      <c r="AD1" s="931"/>
      <c r="AE1" s="931"/>
      <c r="AF1" s="931"/>
      <c r="AG1" s="931"/>
      <c r="AH1" s="931"/>
      <c r="AI1" s="931"/>
      <c r="AJ1" s="931"/>
      <c r="AK1" s="931"/>
      <c r="AL1" s="931"/>
      <c r="AM1" s="931"/>
      <c r="AN1" s="931"/>
      <c r="AO1" s="931"/>
      <c r="AP1" s="931"/>
      <c r="AQ1" s="931"/>
      <c r="AR1" s="931"/>
      <c r="AS1" s="931"/>
      <c r="AT1" s="931"/>
      <c r="AU1" s="931"/>
      <c r="AV1" s="931"/>
      <c r="AW1" s="931"/>
      <c r="AX1" s="931"/>
      <c r="AY1" s="931"/>
      <c r="AZ1" s="931"/>
      <c r="BA1" s="147"/>
    </row>
    <row r="2" spans="1:53" s="107" customFormat="1" ht="14.25" customHeight="1" thickBot="1" x14ac:dyDescent="0.35">
      <c r="A2" s="981" t="s">
        <v>61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  <c r="AF2" s="981"/>
      <c r="AG2" s="981"/>
      <c r="AH2" s="981"/>
      <c r="AI2" s="981"/>
      <c r="AJ2" s="981"/>
      <c r="AK2" s="981"/>
      <c r="AL2" s="981"/>
      <c r="AM2" s="981"/>
      <c r="AN2" s="981"/>
      <c r="AO2" s="981"/>
      <c r="AP2" s="981"/>
      <c r="AQ2" s="981"/>
      <c r="AR2" s="981"/>
      <c r="AS2" s="981"/>
      <c r="AT2" s="981"/>
      <c r="AU2" s="981"/>
      <c r="AV2" s="981"/>
      <c r="AW2" s="981"/>
      <c r="AX2" s="981"/>
      <c r="AY2" s="981"/>
      <c r="AZ2" s="981"/>
      <c r="BA2" s="147"/>
    </row>
    <row r="3" spans="1:53" s="107" customFormat="1" ht="48" customHeight="1" thickBot="1" x14ac:dyDescent="0.35">
      <c r="A3" s="982" t="s">
        <v>0</v>
      </c>
      <c r="B3" s="986" t="s">
        <v>155</v>
      </c>
      <c r="C3" s="987"/>
      <c r="D3" s="980" t="s">
        <v>156</v>
      </c>
      <c r="E3" s="978"/>
      <c r="F3" s="980" t="s">
        <v>157</v>
      </c>
      <c r="G3" s="978"/>
      <c r="H3" s="980" t="s">
        <v>158</v>
      </c>
      <c r="I3" s="978"/>
      <c r="J3" s="977" t="s">
        <v>159</v>
      </c>
      <c r="K3" s="978"/>
      <c r="L3" s="977" t="s">
        <v>160</v>
      </c>
      <c r="M3" s="978"/>
      <c r="N3" s="980" t="s">
        <v>161</v>
      </c>
      <c r="O3" s="978"/>
      <c r="P3" s="980" t="s">
        <v>162</v>
      </c>
      <c r="Q3" s="978"/>
      <c r="R3" s="980" t="s">
        <v>163</v>
      </c>
      <c r="S3" s="978"/>
      <c r="T3" s="980" t="s">
        <v>164</v>
      </c>
      <c r="U3" s="978"/>
      <c r="V3" s="979" t="s">
        <v>165</v>
      </c>
      <c r="W3" s="974"/>
      <c r="X3" s="977" t="s">
        <v>166</v>
      </c>
      <c r="Y3" s="978"/>
      <c r="Z3" s="977" t="s">
        <v>167</v>
      </c>
      <c r="AA3" s="978"/>
      <c r="AB3" s="977" t="s">
        <v>168</v>
      </c>
      <c r="AC3" s="978"/>
      <c r="AD3" s="975" t="s">
        <v>169</v>
      </c>
      <c r="AE3" s="976"/>
      <c r="AF3" s="977" t="s">
        <v>170</v>
      </c>
      <c r="AG3" s="978"/>
      <c r="AH3" s="977" t="s">
        <v>171</v>
      </c>
      <c r="AI3" s="978"/>
      <c r="AJ3" s="977" t="s">
        <v>172</v>
      </c>
      <c r="AK3" s="978"/>
      <c r="AL3" s="975" t="s">
        <v>173</v>
      </c>
      <c r="AM3" s="976"/>
      <c r="AN3" s="977" t="s">
        <v>174</v>
      </c>
      <c r="AO3" s="978"/>
      <c r="AP3" s="979" t="s">
        <v>175</v>
      </c>
      <c r="AQ3" s="974"/>
      <c r="AR3" s="973" t="s">
        <v>176</v>
      </c>
      <c r="AS3" s="974"/>
      <c r="AT3" s="973" t="s">
        <v>177</v>
      </c>
      <c r="AU3" s="974"/>
      <c r="AV3" s="979" t="s">
        <v>1</v>
      </c>
      <c r="AW3" s="979"/>
      <c r="AX3" s="984" t="s">
        <v>178</v>
      </c>
      <c r="AY3" s="985"/>
      <c r="AZ3" s="984" t="s">
        <v>2</v>
      </c>
      <c r="BA3" s="985"/>
    </row>
    <row r="4" spans="1:53" s="517" customFormat="1" ht="15" customHeight="1" thickBot="1" x14ac:dyDescent="0.35">
      <c r="A4" s="983"/>
      <c r="B4" s="610" t="s">
        <v>180</v>
      </c>
      <c r="C4" s="582" t="s">
        <v>181</v>
      </c>
      <c r="D4" s="583" t="s">
        <v>180</v>
      </c>
      <c r="E4" s="582" t="s">
        <v>181</v>
      </c>
      <c r="F4" s="583" t="s">
        <v>180</v>
      </c>
      <c r="G4" s="582" t="s">
        <v>181</v>
      </c>
      <c r="H4" s="583" t="s">
        <v>180</v>
      </c>
      <c r="I4" s="582" t="s">
        <v>181</v>
      </c>
      <c r="J4" s="583" t="s">
        <v>180</v>
      </c>
      <c r="K4" s="582" t="s">
        <v>181</v>
      </c>
      <c r="L4" s="583" t="s">
        <v>180</v>
      </c>
      <c r="M4" s="582" t="s">
        <v>181</v>
      </c>
      <c r="N4" s="583" t="s">
        <v>180</v>
      </c>
      <c r="O4" s="582" t="s">
        <v>181</v>
      </c>
      <c r="P4" s="583" t="s">
        <v>180</v>
      </c>
      <c r="Q4" s="582" t="s">
        <v>181</v>
      </c>
      <c r="R4" s="583" t="s">
        <v>180</v>
      </c>
      <c r="S4" s="582" t="s">
        <v>181</v>
      </c>
      <c r="T4" s="583" t="s">
        <v>180</v>
      </c>
      <c r="U4" s="582" t="s">
        <v>181</v>
      </c>
      <c r="V4" s="583" t="s">
        <v>180</v>
      </c>
      <c r="W4" s="582" t="s">
        <v>181</v>
      </c>
      <c r="X4" s="583" t="s">
        <v>180</v>
      </c>
      <c r="Y4" s="582" t="s">
        <v>181</v>
      </c>
      <c r="Z4" s="583" t="s">
        <v>180</v>
      </c>
      <c r="AA4" s="582" t="s">
        <v>181</v>
      </c>
      <c r="AB4" s="583" t="s">
        <v>180</v>
      </c>
      <c r="AC4" s="582" t="s">
        <v>181</v>
      </c>
      <c r="AD4" s="583" t="s">
        <v>180</v>
      </c>
      <c r="AE4" s="582" t="s">
        <v>181</v>
      </c>
      <c r="AF4" s="583" t="s">
        <v>180</v>
      </c>
      <c r="AG4" s="582" t="s">
        <v>181</v>
      </c>
      <c r="AH4" s="583" t="s">
        <v>180</v>
      </c>
      <c r="AI4" s="582" t="s">
        <v>181</v>
      </c>
      <c r="AJ4" s="583" t="s">
        <v>180</v>
      </c>
      <c r="AK4" s="582" t="s">
        <v>181</v>
      </c>
      <c r="AL4" s="583" t="s">
        <v>180</v>
      </c>
      <c r="AM4" s="582" t="s">
        <v>181</v>
      </c>
      <c r="AN4" s="583" t="s">
        <v>180</v>
      </c>
      <c r="AO4" s="582" t="s">
        <v>181</v>
      </c>
      <c r="AP4" s="583" t="s">
        <v>180</v>
      </c>
      <c r="AQ4" s="582" t="s">
        <v>181</v>
      </c>
      <c r="AR4" s="610" t="s">
        <v>180</v>
      </c>
      <c r="AS4" s="582" t="s">
        <v>181</v>
      </c>
      <c r="AT4" s="610" t="s">
        <v>180</v>
      </c>
      <c r="AU4" s="582" t="s">
        <v>181</v>
      </c>
      <c r="AV4" s="583" t="s">
        <v>180</v>
      </c>
      <c r="AW4" s="583" t="s">
        <v>181</v>
      </c>
      <c r="AX4" s="610" t="s">
        <v>180</v>
      </c>
      <c r="AY4" s="582" t="s">
        <v>181</v>
      </c>
      <c r="AZ4" s="583" t="s">
        <v>180</v>
      </c>
      <c r="BA4" s="582" t="s">
        <v>181</v>
      </c>
    </row>
    <row r="5" spans="1:53" s="111" customFormat="1" ht="15" customHeight="1" thickBot="1" x14ac:dyDescent="0.35">
      <c r="A5" s="460" t="s">
        <v>32</v>
      </c>
      <c r="B5" s="186"/>
      <c r="C5" s="188"/>
      <c r="D5" s="187"/>
      <c r="E5" s="190"/>
      <c r="F5" s="192"/>
      <c r="G5" s="190"/>
      <c r="H5" s="192"/>
      <c r="I5" s="190"/>
      <c r="J5" s="191"/>
      <c r="K5" s="190"/>
      <c r="L5" s="191"/>
      <c r="M5" s="190"/>
      <c r="N5" s="192"/>
      <c r="O5" s="190"/>
      <c r="P5" s="187"/>
      <c r="Q5" s="188"/>
      <c r="R5" s="187"/>
      <c r="S5" s="188"/>
      <c r="T5" s="187"/>
      <c r="U5" s="188"/>
      <c r="V5" s="191"/>
      <c r="W5" s="190"/>
      <c r="X5" s="189"/>
      <c r="Y5" s="188"/>
      <c r="Z5" s="189"/>
      <c r="AA5" s="188"/>
      <c r="AB5" s="189"/>
      <c r="AC5" s="188"/>
      <c r="AD5" s="189"/>
      <c r="AE5" s="188"/>
      <c r="AF5" s="189"/>
      <c r="AG5" s="188"/>
      <c r="AH5" s="189"/>
      <c r="AI5" s="188"/>
      <c r="AJ5" s="189"/>
      <c r="AK5" s="188"/>
      <c r="AL5" s="854"/>
      <c r="AM5" s="247"/>
      <c r="AN5" s="250"/>
      <c r="AO5" s="860"/>
      <c r="AP5" s="191"/>
      <c r="AQ5" s="190"/>
      <c r="AR5" s="194"/>
      <c r="AS5" s="190"/>
      <c r="AT5" s="194"/>
      <c r="AU5" s="190"/>
      <c r="AV5" s="191"/>
      <c r="AW5" s="195"/>
      <c r="AX5" s="194"/>
      <c r="AY5" s="190"/>
      <c r="AZ5" s="192"/>
      <c r="BA5" s="196"/>
    </row>
    <row r="6" spans="1:53" s="111" customFormat="1" ht="14.25" x14ac:dyDescent="0.3">
      <c r="A6" s="459" t="s">
        <v>33</v>
      </c>
      <c r="B6" s="148">
        <v>1290449</v>
      </c>
      <c r="C6" s="113">
        <v>4393886</v>
      </c>
      <c r="D6" s="115">
        <v>136849</v>
      </c>
      <c r="E6" s="120">
        <v>476131</v>
      </c>
      <c r="F6" s="119">
        <v>270284</v>
      </c>
      <c r="G6" s="120">
        <v>993120</v>
      </c>
      <c r="H6" s="119">
        <v>2857454</v>
      </c>
      <c r="I6" s="120">
        <v>11179605</v>
      </c>
      <c r="J6" s="150">
        <v>247236</v>
      </c>
      <c r="K6" s="120">
        <v>762208</v>
      </c>
      <c r="L6" s="150">
        <v>204228</v>
      </c>
      <c r="M6" s="120">
        <v>727643</v>
      </c>
      <c r="N6" s="119">
        <v>787236</v>
      </c>
      <c r="O6" s="120">
        <v>2072223</v>
      </c>
      <c r="P6" s="115">
        <v>151214</v>
      </c>
      <c r="Q6" s="116">
        <v>503540</v>
      </c>
      <c r="R6" s="115">
        <v>1972844</v>
      </c>
      <c r="S6" s="116">
        <v>2096936</v>
      </c>
      <c r="T6" s="115">
        <v>183494</v>
      </c>
      <c r="U6" s="116">
        <v>885138</v>
      </c>
      <c r="V6" s="150">
        <v>3368195</v>
      </c>
      <c r="W6" s="120">
        <v>10366284</v>
      </c>
      <c r="X6" s="149">
        <v>2278854</v>
      </c>
      <c r="Y6" s="116">
        <v>8641145</v>
      </c>
      <c r="Z6" s="849">
        <v>185260</v>
      </c>
      <c r="AA6" s="122">
        <v>727119</v>
      </c>
      <c r="AB6" s="149">
        <v>645955</v>
      </c>
      <c r="AC6" s="116">
        <v>2351545</v>
      </c>
      <c r="AD6" s="149">
        <v>1476336</v>
      </c>
      <c r="AE6" s="116">
        <v>5427506</v>
      </c>
      <c r="AF6" s="149">
        <v>1524807</v>
      </c>
      <c r="AG6" s="110">
        <v>5265903</v>
      </c>
      <c r="AH6" s="149">
        <v>710058</v>
      </c>
      <c r="AI6" s="116">
        <v>3168596</v>
      </c>
      <c r="AJ6" s="149">
        <v>508762</v>
      </c>
      <c r="AK6" s="116">
        <v>1844834</v>
      </c>
      <c r="AL6" s="149"/>
      <c r="AM6" s="116"/>
      <c r="AN6" s="857">
        <v>4024349</v>
      </c>
      <c r="AO6" s="251">
        <v>13587550</v>
      </c>
      <c r="AP6" s="248">
        <v>782485</v>
      </c>
      <c r="AQ6" s="861">
        <v>2240713</v>
      </c>
      <c r="AR6" s="138">
        <v>442185</v>
      </c>
      <c r="AS6" s="140">
        <v>1445689</v>
      </c>
      <c r="AT6" s="118">
        <v>697584</v>
      </c>
      <c r="AU6" s="120">
        <v>2272930</v>
      </c>
      <c r="AV6" s="152">
        <f t="shared" ref="AV6:AW8" si="0">SUM(B6+D6+F6+H6+J6+L6+N6+P6+R6+T6+V6+X6+Z6+AB6+AD6+AF6+AH6+AJ6+AL6+AN6+AP6+AR6+AT6)</f>
        <v>24746118</v>
      </c>
      <c r="AW6" s="153">
        <f t="shared" si="0"/>
        <v>81430244</v>
      </c>
      <c r="AX6" s="138">
        <v>39443576</v>
      </c>
      <c r="AY6" s="140">
        <v>143342124</v>
      </c>
      <c r="AZ6" s="152">
        <f t="shared" ref="AZ6:BA8" si="1">AV6+AX6</f>
        <v>64189694</v>
      </c>
      <c r="BA6" s="154">
        <f t="shared" si="1"/>
        <v>224772368</v>
      </c>
    </row>
    <row r="7" spans="1:53" s="111" customFormat="1" ht="14.25" x14ac:dyDescent="0.3">
      <c r="A7" s="459" t="s">
        <v>34</v>
      </c>
      <c r="B7" s="148">
        <v>1416663</v>
      </c>
      <c r="C7" s="113">
        <v>2792610</v>
      </c>
      <c r="D7" s="115">
        <v>1034</v>
      </c>
      <c r="E7" s="120">
        <v>1336</v>
      </c>
      <c r="F7" s="119">
        <v>1027274</v>
      </c>
      <c r="G7" s="120">
        <v>2430132</v>
      </c>
      <c r="H7" s="119">
        <v>10304879</v>
      </c>
      <c r="I7" s="120">
        <v>21950772</v>
      </c>
      <c r="J7" s="150">
        <v>169388</v>
      </c>
      <c r="K7" s="120">
        <v>401053</v>
      </c>
      <c r="L7" s="150">
        <v>1313</v>
      </c>
      <c r="M7" s="120">
        <v>3126</v>
      </c>
      <c r="N7" s="119"/>
      <c r="O7" s="120">
        <v>27</v>
      </c>
      <c r="P7" s="115"/>
      <c r="Q7" s="116"/>
      <c r="R7" s="115">
        <v>4899898</v>
      </c>
      <c r="S7" s="116">
        <v>4583949</v>
      </c>
      <c r="T7" s="115">
        <v>381949</v>
      </c>
      <c r="U7" s="116">
        <v>675401</v>
      </c>
      <c r="V7" s="150">
        <v>5337626</v>
      </c>
      <c r="W7" s="120">
        <v>17587477</v>
      </c>
      <c r="X7" s="149">
        <v>12763860</v>
      </c>
      <c r="Y7" s="116">
        <v>33584374</v>
      </c>
      <c r="Z7" s="849">
        <v>153518</v>
      </c>
      <c r="AA7" s="122">
        <v>243257</v>
      </c>
      <c r="AB7" s="149">
        <v>97682</v>
      </c>
      <c r="AC7" s="116">
        <v>311540</v>
      </c>
      <c r="AD7" s="149">
        <v>4280742</v>
      </c>
      <c r="AE7" s="116">
        <v>8093080</v>
      </c>
      <c r="AF7" s="149">
        <v>3252565</v>
      </c>
      <c r="AG7" s="110">
        <v>9966807</v>
      </c>
      <c r="AH7" s="149">
        <v>398557</v>
      </c>
      <c r="AI7" s="116">
        <v>801321</v>
      </c>
      <c r="AJ7" s="149">
        <v>2480194</v>
      </c>
      <c r="AK7" s="116">
        <v>5585748</v>
      </c>
      <c r="AL7" s="149"/>
      <c r="AM7" s="116"/>
      <c r="AN7" s="858">
        <v>5041555</v>
      </c>
      <c r="AO7" s="252">
        <v>12682757</v>
      </c>
      <c r="AP7" s="248">
        <v>134021</v>
      </c>
      <c r="AQ7" s="861">
        <v>224807</v>
      </c>
      <c r="AR7" s="138">
        <v>707053</v>
      </c>
      <c r="AS7" s="140">
        <v>2561484</v>
      </c>
      <c r="AT7" s="118">
        <v>582411</v>
      </c>
      <c r="AU7" s="120">
        <v>1681481</v>
      </c>
      <c r="AV7" s="152">
        <f t="shared" si="0"/>
        <v>53432182</v>
      </c>
      <c r="AW7" s="153">
        <f t="shared" si="0"/>
        <v>126162539</v>
      </c>
      <c r="AX7" s="138">
        <v>522992029</v>
      </c>
      <c r="AY7" s="140">
        <v>1212793893</v>
      </c>
      <c r="AZ7" s="152">
        <f t="shared" si="1"/>
        <v>576424211</v>
      </c>
      <c r="BA7" s="154">
        <f t="shared" si="1"/>
        <v>1338956432</v>
      </c>
    </row>
    <row r="8" spans="1:53" s="111" customFormat="1" ht="14.25" x14ac:dyDescent="0.3">
      <c r="A8" s="459" t="s">
        <v>35</v>
      </c>
      <c r="B8" s="148">
        <v>24131</v>
      </c>
      <c r="C8" s="113">
        <v>57369</v>
      </c>
      <c r="D8" s="115">
        <v>32</v>
      </c>
      <c r="E8" s="120">
        <v>137</v>
      </c>
      <c r="F8" s="119">
        <v>136236</v>
      </c>
      <c r="G8" s="120">
        <v>714770</v>
      </c>
      <c r="H8" s="119">
        <v>41735</v>
      </c>
      <c r="I8" s="120">
        <v>178421</v>
      </c>
      <c r="J8" s="150"/>
      <c r="K8" s="120"/>
      <c r="L8" s="150">
        <v>23111</v>
      </c>
      <c r="M8" s="120">
        <v>41239</v>
      </c>
      <c r="N8" s="119"/>
      <c r="O8" s="120"/>
      <c r="P8" s="115">
        <v>3217</v>
      </c>
      <c r="Q8" s="116">
        <v>10404</v>
      </c>
      <c r="R8" s="115">
        <v>28416</v>
      </c>
      <c r="S8" s="116">
        <v>21936</v>
      </c>
      <c r="T8" s="115">
        <v>872</v>
      </c>
      <c r="U8" s="116">
        <v>3564</v>
      </c>
      <c r="V8" s="150">
        <v>296991</v>
      </c>
      <c r="W8" s="120">
        <v>836882</v>
      </c>
      <c r="X8" s="149">
        <v>421850</v>
      </c>
      <c r="Y8" s="116">
        <v>1522440</v>
      </c>
      <c r="Z8" s="849"/>
      <c r="AA8" s="122"/>
      <c r="AB8" s="149">
        <v>50</v>
      </c>
      <c r="AC8" s="116">
        <v>139</v>
      </c>
      <c r="AD8" s="149">
        <v>14265</v>
      </c>
      <c r="AE8" s="116">
        <v>39983</v>
      </c>
      <c r="AF8" s="149">
        <v>20489</v>
      </c>
      <c r="AG8" s="110">
        <v>67911</v>
      </c>
      <c r="AH8" s="149">
        <v>70943</v>
      </c>
      <c r="AI8" s="116">
        <v>201838</v>
      </c>
      <c r="AJ8" s="149">
        <v>4920</v>
      </c>
      <c r="AK8" s="116">
        <v>18441</v>
      </c>
      <c r="AL8" s="149"/>
      <c r="AM8" s="116"/>
      <c r="AN8" s="858">
        <v>484165</v>
      </c>
      <c r="AO8" s="252">
        <v>1738810</v>
      </c>
      <c r="AP8" s="248">
        <v>936</v>
      </c>
      <c r="AQ8" s="861">
        <v>2130</v>
      </c>
      <c r="AR8" s="138">
        <v>25859</v>
      </c>
      <c r="AS8" s="140">
        <v>110419</v>
      </c>
      <c r="AT8" s="118">
        <v>6132</v>
      </c>
      <c r="AU8" s="120">
        <v>24103</v>
      </c>
      <c r="AV8" s="152">
        <f t="shared" si="0"/>
        <v>1604350</v>
      </c>
      <c r="AW8" s="153">
        <f t="shared" si="0"/>
        <v>5590936</v>
      </c>
      <c r="AX8" s="138">
        <v>22921757</v>
      </c>
      <c r="AY8" s="140">
        <v>87644529</v>
      </c>
      <c r="AZ8" s="152">
        <f t="shared" si="1"/>
        <v>24526107</v>
      </c>
      <c r="BA8" s="154">
        <f t="shared" si="1"/>
        <v>93235465</v>
      </c>
    </row>
    <row r="9" spans="1:53" s="111" customFormat="1" ht="14.25" x14ac:dyDescent="0.3">
      <c r="A9" s="459" t="s">
        <v>36</v>
      </c>
      <c r="B9" s="148"/>
      <c r="C9" s="113"/>
      <c r="D9" s="115"/>
      <c r="E9" s="120"/>
      <c r="F9" s="119"/>
      <c r="G9" s="120"/>
      <c r="H9" s="119"/>
      <c r="I9" s="120"/>
      <c r="J9" s="150"/>
      <c r="K9" s="120"/>
      <c r="L9" s="150"/>
      <c r="M9" s="120"/>
      <c r="N9" s="119"/>
      <c r="O9" s="120"/>
      <c r="P9" s="115"/>
      <c r="Q9" s="116"/>
      <c r="R9" s="115"/>
      <c r="S9" s="116"/>
      <c r="T9" s="115"/>
      <c r="U9" s="116"/>
      <c r="V9" s="132"/>
      <c r="W9" s="120"/>
      <c r="X9" s="149"/>
      <c r="Y9" s="116"/>
      <c r="Z9" s="849"/>
      <c r="AA9" s="122"/>
      <c r="AB9" s="149"/>
      <c r="AC9" s="116"/>
      <c r="AD9" s="149"/>
      <c r="AE9" s="116"/>
      <c r="AF9" s="149"/>
      <c r="AG9" s="110"/>
      <c r="AH9" s="149"/>
      <c r="AI9" s="116"/>
      <c r="AJ9" s="149"/>
      <c r="AK9" s="116"/>
      <c r="AL9" s="149"/>
      <c r="AM9" s="116"/>
      <c r="AN9" s="150"/>
      <c r="AO9" s="120"/>
      <c r="AP9" s="248"/>
      <c r="AQ9" s="861"/>
      <c r="AR9" s="138">
        <v>79648</v>
      </c>
      <c r="AS9" s="140">
        <v>344358</v>
      </c>
      <c r="AT9" s="118">
        <v>199538</v>
      </c>
      <c r="AU9" s="120">
        <v>811258</v>
      </c>
      <c r="AV9" s="152"/>
      <c r="AW9" s="153"/>
      <c r="AX9" s="138"/>
      <c r="AY9" s="140"/>
      <c r="AZ9" s="152"/>
      <c r="BA9" s="154"/>
    </row>
    <row r="10" spans="1:53" s="111" customFormat="1" ht="14.25" x14ac:dyDescent="0.3">
      <c r="A10" s="459" t="s">
        <v>37</v>
      </c>
      <c r="B10" s="156">
        <v>212198</v>
      </c>
      <c r="C10" s="157">
        <v>640380</v>
      </c>
      <c r="D10" s="128">
        <v>140725</v>
      </c>
      <c r="E10" s="146">
        <v>160924</v>
      </c>
      <c r="F10" s="145">
        <v>296363</v>
      </c>
      <c r="G10" s="146">
        <v>793817</v>
      </c>
      <c r="H10" s="145">
        <v>1027241</v>
      </c>
      <c r="I10" s="146">
        <v>3176216</v>
      </c>
      <c r="J10" s="152">
        <v>31077</v>
      </c>
      <c r="K10" s="146">
        <v>94267</v>
      </c>
      <c r="L10" s="152">
        <v>159332</v>
      </c>
      <c r="M10" s="146">
        <v>160099</v>
      </c>
      <c r="N10" s="145">
        <v>15026</v>
      </c>
      <c r="O10" s="146">
        <v>46684</v>
      </c>
      <c r="P10" s="128">
        <v>56564</v>
      </c>
      <c r="Q10" s="159">
        <v>152901</v>
      </c>
      <c r="R10" s="128"/>
      <c r="S10" s="159"/>
      <c r="T10" s="128">
        <v>30081</v>
      </c>
      <c r="U10" s="159">
        <v>99411</v>
      </c>
      <c r="V10" s="152">
        <v>23163</v>
      </c>
      <c r="W10" s="146">
        <v>657433</v>
      </c>
      <c r="X10" s="158">
        <v>607062</v>
      </c>
      <c r="Y10" s="159">
        <v>2099481</v>
      </c>
      <c r="Z10" s="849">
        <v>370150</v>
      </c>
      <c r="AA10" s="122">
        <v>818056</v>
      </c>
      <c r="AB10" s="158">
        <v>2542</v>
      </c>
      <c r="AC10" s="159">
        <v>2542</v>
      </c>
      <c r="AD10" s="852">
        <v>141117</v>
      </c>
      <c r="AE10" s="853">
        <v>365890</v>
      </c>
      <c r="AF10" s="158">
        <v>165263</v>
      </c>
      <c r="AG10" s="110">
        <v>544590</v>
      </c>
      <c r="AH10" s="158">
        <v>524903</v>
      </c>
      <c r="AI10" s="159">
        <v>1344666</v>
      </c>
      <c r="AJ10" s="158">
        <v>1887819</v>
      </c>
      <c r="AK10" s="159">
        <v>5744965</v>
      </c>
      <c r="AL10" s="149"/>
      <c r="AM10" s="116"/>
      <c r="AN10" s="858">
        <v>2514794</v>
      </c>
      <c r="AO10" s="252">
        <v>8847890</v>
      </c>
      <c r="AP10" s="248">
        <v>145417</v>
      </c>
      <c r="AQ10" s="861">
        <v>410507</v>
      </c>
      <c r="AR10" s="138"/>
      <c r="AS10" s="140"/>
      <c r="AT10" s="141">
        <f>741921+505568</f>
        <v>1247489</v>
      </c>
      <c r="AU10" s="146">
        <f>2405960+1831938</f>
        <v>4237898</v>
      </c>
      <c r="AV10" s="152">
        <f t="shared" ref="AV10:AW15" si="2">SUM(B10+D10+F10+H10+J10+L10+N10+P10+R10+T10+V10+X10+Z10+AB10+AD10+AF10+AH10+AJ10+AL10+AN10+AP10+AR10+AT10)</f>
        <v>9598326</v>
      </c>
      <c r="AW10" s="153">
        <f t="shared" si="2"/>
        <v>30398617</v>
      </c>
      <c r="AX10" s="141"/>
      <c r="AY10" s="146"/>
      <c r="AZ10" s="152">
        <f t="shared" ref="AZ10:BA15" si="3">AV10+AX10</f>
        <v>9598326</v>
      </c>
      <c r="BA10" s="154">
        <f t="shared" si="3"/>
        <v>30398617</v>
      </c>
    </row>
    <row r="11" spans="1:53" s="111" customFormat="1" ht="14.25" x14ac:dyDescent="0.3">
      <c r="A11" s="459" t="s">
        <v>38</v>
      </c>
      <c r="B11" s="148">
        <v>11163620</v>
      </c>
      <c r="C11" s="113">
        <v>44108580</v>
      </c>
      <c r="D11" s="115">
        <v>858139</v>
      </c>
      <c r="E11" s="120">
        <v>2842363</v>
      </c>
      <c r="F11" s="119">
        <v>3182591</v>
      </c>
      <c r="G11" s="120">
        <v>11537441</v>
      </c>
      <c r="H11" s="119">
        <v>9729084</v>
      </c>
      <c r="I11" s="120">
        <v>44021939</v>
      </c>
      <c r="J11" s="150">
        <v>1356565</v>
      </c>
      <c r="K11" s="120">
        <v>4606693</v>
      </c>
      <c r="L11" s="150">
        <v>2753921</v>
      </c>
      <c r="M11" s="120">
        <v>12434672</v>
      </c>
      <c r="N11" s="119">
        <v>354053</v>
      </c>
      <c r="O11" s="120">
        <v>1231208</v>
      </c>
      <c r="P11" s="115">
        <v>50651</v>
      </c>
      <c r="Q11" s="116">
        <v>146307</v>
      </c>
      <c r="R11" s="115">
        <v>5654671</v>
      </c>
      <c r="S11" s="116">
        <v>6272841</v>
      </c>
      <c r="T11" s="115">
        <v>528211</v>
      </c>
      <c r="U11" s="116">
        <v>1881046</v>
      </c>
      <c r="V11" s="150">
        <v>19780596</v>
      </c>
      <c r="W11" s="120">
        <v>69622499</v>
      </c>
      <c r="X11" s="149">
        <v>29589022</v>
      </c>
      <c r="Y11" s="116">
        <v>127606473</v>
      </c>
      <c r="Z11" s="149">
        <v>789035</v>
      </c>
      <c r="AA11" s="116">
        <v>3274686</v>
      </c>
      <c r="AB11" s="149">
        <v>4242666</v>
      </c>
      <c r="AC11" s="116">
        <v>9007445</v>
      </c>
      <c r="AD11" s="149">
        <v>3332259</v>
      </c>
      <c r="AE11" s="116">
        <v>13535758</v>
      </c>
      <c r="AF11" s="149">
        <v>6766744</v>
      </c>
      <c r="AG11" s="110">
        <v>25591376</v>
      </c>
      <c r="AH11" s="149">
        <v>5045247</v>
      </c>
      <c r="AI11" s="116">
        <v>16258559</v>
      </c>
      <c r="AJ11" s="149">
        <v>3923581</v>
      </c>
      <c r="AK11" s="116">
        <v>16332763</v>
      </c>
      <c r="AL11" s="149"/>
      <c r="AM11" s="116"/>
      <c r="AN11" s="858">
        <v>11286286</v>
      </c>
      <c r="AO11" s="252">
        <v>42692893</v>
      </c>
      <c r="AP11" s="248">
        <v>532537</v>
      </c>
      <c r="AQ11" s="861">
        <v>2776553</v>
      </c>
      <c r="AR11" s="138">
        <v>1610196</v>
      </c>
      <c r="AS11" s="140">
        <v>5450505</v>
      </c>
      <c r="AT11" s="118">
        <v>2619514</v>
      </c>
      <c r="AU11" s="120">
        <v>13165649</v>
      </c>
      <c r="AV11" s="152">
        <f t="shared" si="2"/>
        <v>125149189</v>
      </c>
      <c r="AW11" s="153">
        <f t="shared" si="2"/>
        <v>474398249</v>
      </c>
      <c r="AX11" s="138">
        <v>166563711</v>
      </c>
      <c r="AY11" s="140">
        <v>516779091</v>
      </c>
      <c r="AZ11" s="152">
        <f t="shared" si="3"/>
        <v>291712900</v>
      </c>
      <c r="BA11" s="154">
        <f t="shared" si="3"/>
        <v>991177340</v>
      </c>
    </row>
    <row r="12" spans="1:53" s="111" customFormat="1" ht="14.25" x14ac:dyDescent="0.3">
      <c r="A12" s="459" t="s">
        <v>39</v>
      </c>
      <c r="B12" s="148"/>
      <c r="C12" s="113"/>
      <c r="D12" s="115"/>
      <c r="E12" s="120"/>
      <c r="F12" s="119"/>
      <c r="G12" s="120"/>
      <c r="H12" s="119"/>
      <c r="I12" s="120"/>
      <c r="J12" s="150"/>
      <c r="K12" s="120"/>
      <c r="L12" s="150"/>
      <c r="M12" s="120"/>
      <c r="N12" s="119"/>
      <c r="O12" s="120"/>
      <c r="P12" s="115"/>
      <c r="Q12" s="116"/>
      <c r="R12" s="115"/>
      <c r="S12" s="116"/>
      <c r="T12" s="115"/>
      <c r="U12" s="116"/>
      <c r="V12" s="150">
        <v>7724617</v>
      </c>
      <c r="W12" s="120">
        <v>14338704</v>
      </c>
      <c r="X12" s="149"/>
      <c r="Y12" s="116"/>
      <c r="Z12" s="149"/>
      <c r="AA12" s="116"/>
      <c r="AB12" s="149"/>
      <c r="AC12" s="116"/>
      <c r="AD12" s="149">
        <v>344015</v>
      </c>
      <c r="AE12" s="116">
        <v>808066</v>
      </c>
      <c r="AF12" s="149"/>
      <c r="AG12" s="110"/>
      <c r="AH12" s="149"/>
      <c r="AI12" s="116"/>
      <c r="AJ12" s="149"/>
      <c r="AK12" s="116"/>
      <c r="AL12" s="149"/>
      <c r="AM12" s="116"/>
      <c r="AN12" s="858">
        <v>4128040</v>
      </c>
      <c r="AO12" s="252">
        <v>13512167</v>
      </c>
      <c r="AP12" s="248"/>
      <c r="AQ12" s="861"/>
      <c r="AR12" s="138"/>
      <c r="AS12" s="140"/>
      <c r="AT12" s="118"/>
      <c r="AU12" s="120"/>
      <c r="AV12" s="152">
        <f t="shared" si="2"/>
        <v>12196672</v>
      </c>
      <c r="AW12" s="153">
        <f t="shared" si="2"/>
        <v>28658937</v>
      </c>
      <c r="AX12" s="138"/>
      <c r="AY12" s="140"/>
      <c r="AZ12" s="152">
        <f t="shared" si="3"/>
        <v>12196672</v>
      </c>
      <c r="BA12" s="154">
        <f t="shared" si="3"/>
        <v>28658937</v>
      </c>
    </row>
    <row r="13" spans="1:53" s="111" customFormat="1" ht="14.25" x14ac:dyDescent="0.3">
      <c r="A13" s="459" t="s">
        <v>40</v>
      </c>
      <c r="B13" s="148"/>
      <c r="C13" s="113"/>
      <c r="D13" s="115">
        <v>9961</v>
      </c>
      <c r="E13" s="120">
        <v>152818</v>
      </c>
      <c r="F13" s="119"/>
      <c r="G13" s="120"/>
      <c r="H13" s="119"/>
      <c r="I13" s="120"/>
      <c r="J13" s="150"/>
      <c r="K13" s="120"/>
      <c r="L13" s="150">
        <v>1168898</v>
      </c>
      <c r="M13" s="120">
        <v>4658303</v>
      </c>
      <c r="N13" s="119"/>
      <c r="O13" s="120"/>
      <c r="P13" s="115">
        <v>14604</v>
      </c>
      <c r="Q13" s="116">
        <v>63212</v>
      </c>
      <c r="R13" s="115"/>
      <c r="S13" s="116"/>
      <c r="T13" s="115"/>
      <c r="U13" s="116"/>
      <c r="V13" s="150">
        <v>5806726</v>
      </c>
      <c r="W13" s="120">
        <v>13612867</v>
      </c>
      <c r="X13" s="149"/>
      <c r="Y13" s="116"/>
      <c r="Z13" s="149"/>
      <c r="AA13" s="116"/>
      <c r="AB13" s="149"/>
      <c r="AC13" s="116"/>
      <c r="AD13" s="149"/>
      <c r="AE13" s="116"/>
      <c r="AF13" s="149"/>
      <c r="AG13" s="110"/>
      <c r="AH13" s="149"/>
      <c r="AI13" s="116"/>
      <c r="AJ13" s="149"/>
      <c r="AK13" s="116"/>
      <c r="AL13" s="149"/>
      <c r="AM13" s="116"/>
      <c r="AN13" s="858">
        <v>7765193</v>
      </c>
      <c r="AO13" s="252">
        <v>24920625</v>
      </c>
      <c r="AP13" s="248">
        <v>2368</v>
      </c>
      <c r="AQ13" s="861">
        <v>17965</v>
      </c>
      <c r="AR13" s="138"/>
      <c r="AS13" s="140"/>
      <c r="AT13" s="118"/>
      <c r="AU13" s="120"/>
      <c r="AV13" s="152">
        <f t="shared" si="2"/>
        <v>14767750</v>
      </c>
      <c r="AW13" s="153">
        <f t="shared" si="2"/>
        <v>43425790</v>
      </c>
      <c r="AX13" s="138"/>
      <c r="AY13" s="140"/>
      <c r="AZ13" s="152">
        <f t="shared" si="3"/>
        <v>14767750</v>
      </c>
      <c r="BA13" s="154">
        <f t="shared" si="3"/>
        <v>43425790</v>
      </c>
    </row>
    <row r="14" spans="1:53" s="111" customFormat="1" ht="14.25" x14ac:dyDescent="0.3">
      <c r="A14" s="459" t="s">
        <v>41</v>
      </c>
      <c r="B14" s="156">
        <v>20690</v>
      </c>
      <c r="C14" s="157">
        <v>65917</v>
      </c>
      <c r="D14" s="128">
        <v>9656</v>
      </c>
      <c r="E14" s="146">
        <v>20659</v>
      </c>
      <c r="F14" s="145">
        <v>1694</v>
      </c>
      <c r="G14" s="146">
        <v>7558</v>
      </c>
      <c r="H14" s="145">
        <v>52793</v>
      </c>
      <c r="I14" s="146">
        <v>100109</v>
      </c>
      <c r="J14" s="152">
        <v>10036</v>
      </c>
      <c r="K14" s="146">
        <v>25900</v>
      </c>
      <c r="L14" s="152"/>
      <c r="M14" s="146"/>
      <c r="N14" s="145"/>
      <c r="O14" s="146">
        <v>52</v>
      </c>
      <c r="P14" s="128"/>
      <c r="Q14" s="159"/>
      <c r="R14" s="128"/>
      <c r="S14" s="159"/>
      <c r="T14" s="128">
        <v>4672</v>
      </c>
      <c r="U14" s="159">
        <v>5362</v>
      </c>
      <c r="V14" s="152"/>
      <c r="W14" s="146"/>
      <c r="X14" s="158">
        <v>31819</v>
      </c>
      <c r="Y14" s="159">
        <v>121857</v>
      </c>
      <c r="Z14" s="849">
        <v>2536</v>
      </c>
      <c r="AA14" s="122">
        <v>15136</v>
      </c>
      <c r="AB14" s="158"/>
      <c r="AC14" s="159"/>
      <c r="AD14" s="852">
        <v>2270</v>
      </c>
      <c r="AE14" s="853">
        <v>5882</v>
      </c>
      <c r="AF14" s="158"/>
      <c r="AG14" s="110"/>
      <c r="AH14" s="158"/>
      <c r="AI14" s="159"/>
      <c r="AJ14" s="158">
        <v>1100</v>
      </c>
      <c r="AK14" s="159">
        <v>3030</v>
      </c>
      <c r="AL14" s="149"/>
      <c r="AM14" s="116"/>
      <c r="AN14" s="858">
        <v>24468</v>
      </c>
      <c r="AO14" s="252">
        <v>59442</v>
      </c>
      <c r="AP14" s="248"/>
      <c r="AQ14" s="861"/>
      <c r="AR14" s="138"/>
      <c r="AS14" s="140"/>
      <c r="AT14" s="141"/>
      <c r="AU14" s="146"/>
      <c r="AV14" s="152">
        <f t="shared" si="2"/>
        <v>161734</v>
      </c>
      <c r="AW14" s="153">
        <f t="shared" si="2"/>
        <v>430904</v>
      </c>
      <c r="AX14" s="141"/>
      <c r="AY14" s="146"/>
      <c r="AZ14" s="152">
        <f t="shared" si="3"/>
        <v>161734</v>
      </c>
      <c r="BA14" s="154">
        <f t="shared" si="3"/>
        <v>430904</v>
      </c>
    </row>
    <row r="15" spans="1:53" s="111" customFormat="1" ht="14.25" x14ac:dyDescent="0.3">
      <c r="A15" s="459" t="s">
        <v>42</v>
      </c>
      <c r="B15" s="148">
        <v>-2597</v>
      </c>
      <c r="C15" s="113">
        <v>10937</v>
      </c>
      <c r="D15" s="115">
        <v>3907</v>
      </c>
      <c r="E15" s="120">
        <v>12519</v>
      </c>
      <c r="F15" s="119">
        <v>4285</v>
      </c>
      <c r="G15" s="120">
        <v>15287</v>
      </c>
      <c r="H15" s="119">
        <v>20436</v>
      </c>
      <c r="I15" s="120">
        <v>93796</v>
      </c>
      <c r="J15" s="150">
        <v>3705</v>
      </c>
      <c r="K15" s="120">
        <v>22644</v>
      </c>
      <c r="L15" s="150"/>
      <c r="M15" s="120"/>
      <c r="N15" s="119">
        <v>570</v>
      </c>
      <c r="O15" s="120">
        <v>2530</v>
      </c>
      <c r="P15" s="115">
        <v>-30</v>
      </c>
      <c r="Q15" s="116">
        <v>548</v>
      </c>
      <c r="R15" s="115"/>
      <c r="S15" s="116"/>
      <c r="T15" s="115"/>
      <c r="U15" s="116"/>
      <c r="V15" s="150">
        <v>28390</v>
      </c>
      <c r="W15" s="120">
        <v>212686</v>
      </c>
      <c r="X15" s="149">
        <v>234449</v>
      </c>
      <c r="Y15" s="116">
        <v>850123</v>
      </c>
      <c r="Z15" s="849"/>
      <c r="AA15" s="122"/>
      <c r="AB15" s="149">
        <v>4565</v>
      </c>
      <c r="AC15" s="116">
        <v>19415</v>
      </c>
      <c r="AD15" s="149"/>
      <c r="AE15" s="116"/>
      <c r="AF15" s="149">
        <v>15229</v>
      </c>
      <c r="AG15" s="110">
        <v>44308</v>
      </c>
      <c r="AH15" s="149">
        <v>16573</v>
      </c>
      <c r="AI15" s="116">
        <v>60498</v>
      </c>
      <c r="AJ15" s="149">
        <v>2245</v>
      </c>
      <c r="AK15" s="116">
        <v>19118</v>
      </c>
      <c r="AL15" s="149"/>
      <c r="AM15" s="116"/>
      <c r="AN15" s="858">
        <v>73</v>
      </c>
      <c r="AO15" s="252">
        <v>1047</v>
      </c>
      <c r="AP15" s="248"/>
      <c r="AQ15" s="861"/>
      <c r="AR15" s="138">
        <v>3797</v>
      </c>
      <c r="AS15" s="140">
        <v>3863</v>
      </c>
      <c r="AT15" s="118">
        <v>-497</v>
      </c>
      <c r="AU15" s="120">
        <v>6688</v>
      </c>
      <c r="AV15" s="152">
        <f t="shared" si="2"/>
        <v>335100</v>
      </c>
      <c r="AW15" s="153">
        <f t="shared" si="2"/>
        <v>1376007</v>
      </c>
      <c r="AX15" s="118">
        <f>30477+52694+32579+6429</f>
        <v>122179</v>
      </c>
      <c r="AY15" s="120">
        <f>99531+169761+120282+21200</f>
        <v>410774</v>
      </c>
      <c r="AZ15" s="152">
        <f t="shared" si="3"/>
        <v>457279</v>
      </c>
      <c r="BA15" s="154">
        <f t="shared" si="3"/>
        <v>1786781</v>
      </c>
    </row>
    <row r="16" spans="1:53" s="111" customFormat="1" ht="14.25" x14ac:dyDescent="0.3">
      <c r="A16" s="459" t="s">
        <v>43</v>
      </c>
      <c r="B16" s="148"/>
      <c r="C16" s="113"/>
      <c r="D16" s="115"/>
      <c r="E16" s="120"/>
      <c r="F16" s="119"/>
      <c r="G16" s="120"/>
      <c r="H16" s="119"/>
      <c r="I16" s="120"/>
      <c r="J16" s="150"/>
      <c r="K16" s="120"/>
      <c r="L16" s="150"/>
      <c r="M16" s="120"/>
      <c r="N16" s="119"/>
      <c r="O16" s="120"/>
      <c r="P16" s="115"/>
      <c r="Q16" s="116"/>
      <c r="R16" s="115"/>
      <c r="S16" s="116"/>
      <c r="T16" s="115"/>
      <c r="U16" s="116"/>
      <c r="V16" s="150"/>
      <c r="W16" s="120"/>
      <c r="X16" s="149"/>
      <c r="Y16" s="116"/>
      <c r="Z16" s="849"/>
      <c r="AA16" s="122"/>
      <c r="AB16" s="149"/>
      <c r="AC16" s="116"/>
      <c r="AD16" s="149"/>
      <c r="AE16" s="116"/>
      <c r="AF16" s="149"/>
      <c r="AG16" s="110"/>
      <c r="AH16" s="149"/>
      <c r="AI16" s="116"/>
      <c r="AJ16" s="149"/>
      <c r="AK16" s="116"/>
      <c r="AL16" s="149"/>
      <c r="AM16" s="116"/>
      <c r="AN16" s="858"/>
      <c r="AO16" s="252"/>
      <c r="AP16" s="248"/>
      <c r="AQ16" s="861"/>
      <c r="AR16" s="138"/>
      <c r="AS16" s="140"/>
      <c r="AT16" s="118"/>
      <c r="AU16" s="120"/>
      <c r="AV16" s="152"/>
      <c r="AW16" s="153"/>
      <c r="AX16" s="118"/>
      <c r="AY16" s="120"/>
      <c r="AZ16" s="152"/>
      <c r="BA16" s="154"/>
    </row>
    <row r="17" spans="1:53" s="111" customFormat="1" ht="14.25" x14ac:dyDescent="0.3">
      <c r="A17" s="459" t="s">
        <v>44</v>
      </c>
      <c r="B17" s="148"/>
      <c r="C17" s="113"/>
      <c r="D17" s="115"/>
      <c r="E17" s="120"/>
      <c r="F17" s="119"/>
      <c r="G17" s="120"/>
      <c r="H17" s="119"/>
      <c r="I17" s="120"/>
      <c r="J17" s="150"/>
      <c r="K17" s="120"/>
      <c r="L17" s="150"/>
      <c r="M17" s="120"/>
      <c r="N17" s="119"/>
      <c r="O17" s="120"/>
      <c r="P17" s="115"/>
      <c r="Q17" s="116"/>
      <c r="R17" s="115"/>
      <c r="S17" s="116"/>
      <c r="T17" s="115"/>
      <c r="U17" s="116"/>
      <c r="V17" s="150"/>
      <c r="W17" s="120"/>
      <c r="X17" s="149"/>
      <c r="Y17" s="116"/>
      <c r="Z17" s="849"/>
      <c r="AA17" s="122"/>
      <c r="AB17" s="149"/>
      <c r="AC17" s="116"/>
      <c r="AD17" s="149"/>
      <c r="AE17" s="116"/>
      <c r="AF17" s="149">
        <v>2790556</v>
      </c>
      <c r="AG17" s="110">
        <v>8761109</v>
      </c>
      <c r="AH17" s="149"/>
      <c r="AI17" s="116"/>
      <c r="AJ17" s="149"/>
      <c r="AK17" s="116"/>
      <c r="AL17" s="149"/>
      <c r="AM17" s="116"/>
      <c r="AN17" s="858"/>
      <c r="AO17" s="252"/>
      <c r="AP17" s="248">
        <v>1218</v>
      </c>
      <c r="AQ17" s="861">
        <v>3345</v>
      </c>
      <c r="AR17" s="138"/>
      <c r="AS17" s="140"/>
      <c r="AT17" s="118"/>
      <c r="AU17" s="120"/>
      <c r="AV17" s="152">
        <f t="shared" ref="AV17:AW22" si="4">SUM(B17+D17+F17+H17+J17+L17+N17+P17+R17+T17+V17+X17+Z17+AB17+AD17+AF17+AH17+AJ17+AL17+AN17+AP17+AR17+AT17)</f>
        <v>2791774</v>
      </c>
      <c r="AW17" s="153">
        <f t="shared" si="4"/>
        <v>8764454</v>
      </c>
      <c r="AX17" s="118"/>
      <c r="AY17" s="120"/>
      <c r="AZ17" s="152">
        <f t="shared" ref="AZ17:BA22" si="5">AV17+AX17</f>
        <v>2791774</v>
      </c>
      <c r="BA17" s="154">
        <f t="shared" si="5"/>
        <v>8764454</v>
      </c>
    </row>
    <row r="18" spans="1:53" s="111" customFormat="1" ht="14.25" x14ac:dyDescent="0.3">
      <c r="A18" s="459" t="s">
        <v>45</v>
      </c>
      <c r="B18" s="148"/>
      <c r="C18" s="113"/>
      <c r="D18" s="115"/>
      <c r="E18" s="120"/>
      <c r="F18" s="119"/>
      <c r="G18" s="120"/>
      <c r="H18" s="119"/>
      <c r="I18" s="120"/>
      <c r="J18" s="150"/>
      <c r="K18" s="120"/>
      <c r="L18" s="150"/>
      <c r="M18" s="120"/>
      <c r="N18" s="119"/>
      <c r="O18" s="120"/>
      <c r="P18" s="115"/>
      <c r="Q18" s="116"/>
      <c r="R18" s="115"/>
      <c r="S18" s="116"/>
      <c r="T18" s="115"/>
      <c r="U18" s="116"/>
      <c r="V18" s="150">
        <v>1435626</v>
      </c>
      <c r="W18" s="120">
        <v>3049968</v>
      </c>
      <c r="X18" s="149"/>
      <c r="Y18" s="116"/>
      <c r="Z18" s="849"/>
      <c r="AA18" s="122"/>
      <c r="AB18" s="149"/>
      <c r="AC18" s="116"/>
      <c r="AD18" s="149"/>
      <c r="AE18" s="116"/>
      <c r="AF18" s="149"/>
      <c r="AG18" s="110"/>
      <c r="AH18" s="149"/>
      <c r="AI18" s="116"/>
      <c r="AJ18" s="149"/>
      <c r="AK18" s="116"/>
      <c r="AL18" s="149"/>
      <c r="AM18" s="116"/>
      <c r="AN18" s="858"/>
      <c r="AO18" s="252"/>
      <c r="AP18" s="248"/>
      <c r="AQ18" s="861"/>
      <c r="AR18" s="138"/>
      <c r="AS18" s="140"/>
      <c r="AT18" s="118"/>
      <c r="AU18" s="120"/>
      <c r="AV18" s="152">
        <f t="shared" si="4"/>
        <v>1435626</v>
      </c>
      <c r="AW18" s="153">
        <f t="shared" si="4"/>
        <v>3049968</v>
      </c>
      <c r="AX18" s="118"/>
      <c r="AY18" s="120"/>
      <c r="AZ18" s="152">
        <f t="shared" si="5"/>
        <v>1435626</v>
      </c>
      <c r="BA18" s="154">
        <f t="shared" si="5"/>
        <v>3049968</v>
      </c>
    </row>
    <row r="19" spans="1:53" s="111" customFormat="1" ht="14.25" x14ac:dyDescent="0.3">
      <c r="A19" s="459" t="s">
        <v>46</v>
      </c>
      <c r="B19" s="148"/>
      <c r="C19" s="113"/>
      <c r="D19" s="115"/>
      <c r="E19" s="120"/>
      <c r="F19" s="119"/>
      <c r="G19" s="120"/>
      <c r="H19" s="119"/>
      <c r="I19" s="120"/>
      <c r="J19" s="150"/>
      <c r="K19" s="120"/>
      <c r="L19" s="150"/>
      <c r="M19" s="120"/>
      <c r="N19" s="119"/>
      <c r="O19" s="120"/>
      <c r="P19" s="115"/>
      <c r="Q19" s="116"/>
      <c r="R19" s="115"/>
      <c r="S19" s="116"/>
      <c r="T19" s="115"/>
      <c r="U19" s="116"/>
      <c r="V19" s="150">
        <v>58297</v>
      </c>
      <c r="W19" s="120">
        <v>173206</v>
      </c>
      <c r="X19" s="149"/>
      <c r="Y19" s="116"/>
      <c r="Z19" s="849"/>
      <c r="AA19" s="122"/>
      <c r="AB19" s="149"/>
      <c r="AC19" s="116"/>
      <c r="AD19" s="149"/>
      <c r="AE19" s="116"/>
      <c r="AF19" s="149"/>
      <c r="AG19" s="110"/>
      <c r="AH19" s="149"/>
      <c r="AI19" s="116"/>
      <c r="AJ19" s="149"/>
      <c r="AK19" s="116"/>
      <c r="AL19" s="149"/>
      <c r="AM19" s="116"/>
      <c r="AN19" s="858"/>
      <c r="AO19" s="252"/>
      <c r="AP19" s="248"/>
      <c r="AQ19" s="861"/>
      <c r="AR19" s="138"/>
      <c r="AS19" s="140"/>
      <c r="AT19" s="118"/>
      <c r="AU19" s="120"/>
      <c r="AV19" s="152">
        <f t="shared" si="4"/>
        <v>58297</v>
      </c>
      <c r="AW19" s="153">
        <f t="shared" si="4"/>
        <v>173206</v>
      </c>
      <c r="AX19" s="118"/>
      <c r="AY19" s="120"/>
      <c r="AZ19" s="152">
        <f t="shared" si="5"/>
        <v>58297</v>
      </c>
      <c r="BA19" s="154">
        <f t="shared" si="5"/>
        <v>173206</v>
      </c>
    </row>
    <row r="20" spans="1:53" s="111" customFormat="1" ht="14.25" x14ac:dyDescent="0.3">
      <c r="A20" s="459" t="s">
        <v>47</v>
      </c>
      <c r="B20" s="148"/>
      <c r="C20" s="113"/>
      <c r="D20" s="115">
        <v>5299</v>
      </c>
      <c r="E20" s="120">
        <v>20929</v>
      </c>
      <c r="F20" s="119">
        <v>29767</v>
      </c>
      <c r="G20" s="120">
        <v>120693</v>
      </c>
      <c r="H20" s="119">
        <v>46124</v>
      </c>
      <c r="I20" s="120">
        <v>183985</v>
      </c>
      <c r="J20" s="150"/>
      <c r="K20" s="120"/>
      <c r="L20" s="150"/>
      <c r="M20" s="120"/>
      <c r="N20" s="119">
        <v>-7792</v>
      </c>
      <c r="O20" s="120">
        <v>18527</v>
      </c>
      <c r="P20" s="115"/>
      <c r="Q20" s="116">
        <v>2186</v>
      </c>
      <c r="R20" s="115"/>
      <c r="S20" s="116"/>
      <c r="T20" s="115"/>
      <c r="U20" s="116"/>
      <c r="V20" s="150">
        <v>96098</v>
      </c>
      <c r="W20" s="120">
        <v>459443</v>
      </c>
      <c r="X20" s="149">
        <v>133542</v>
      </c>
      <c r="Y20" s="116">
        <v>482269</v>
      </c>
      <c r="Z20" s="849"/>
      <c r="AA20" s="122"/>
      <c r="AB20" s="149"/>
      <c r="AC20" s="116"/>
      <c r="AD20" s="149"/>
      <c r="AE20" s="116"/>
      <c r="AF20" s="149"/>
      <c r="AG20" s="110"/>
      <c r="AH20" s="149">
        <v>28228</v>
      </c>
      <c r="AI20" s="116">
        <v>116523</v>
      </c>
      <c r="AJ20" s="149"/>
      <c r="AK20" s="116"/>
      <c r="AL20" s="149"/>
      <c r="AM20" s="116"/>
      <c r="AN20" s="858">
        <v>117942</v>
      </c>
      <c r="AO20" s="252">
        <v>388372</v>
      </c>
      <c r="AP20" s="248"/>
      <c r="AQ20" s="861"/>
      <c r="AR20" s="138"/>
      <c r="AS20" s="140"/>
      <c r="AT20" s="118">
        <v>28967</v>
      </c>
      <c r="AU20" s="120">
        <v>164257</v>
      </c>
      <c r="AV20" s="152">
        <f t="shared" si="4"/>
        <v>478175</v>
      </c>
      <c r="AW20" s="153">
        <f t="shared" si="4"/>
        <v>1957184</v>
      </c>
      <c r="AX20" s="118"/>
      <c r="AY20" s="120"/>
      <c r="AZ20" s="152">
        <f t="shared" si="5"/>
        <v>478175</v>
      </c>
      <c r="BA20" s="154">
        <f t="shared" si="5"/>
        <v>1957184</v>
      </c>
    </row>
    <row r="21" spans="1:53" s="111" customFormat="1" ht="14.25" x14ac:dyDescent="0.3">
      <c r="A21" s="459" t="s">
        <v>48</v>
      </c>
      <c r="B21" s="148"/>
      <c r="C21" s="113"/>
      <c r="D21" s="115"/>
      <c r="E21" s="120"/>
      <c r="F21" s="119"/>
      <c r="G21" s="120"/>
      <c r="H21" s="119"/>
      <c r="I21" s="120"/>
      <c r="J21" s="150"/>
      <c r="K21" s="120"/>
      <c r="L21" s="150"/>
      <c r="M21" s="120"/>
      <c r="N21" s="119">
        <v>2850</v>
      </c>
      <c r="O21" s="120">
        <v>6977</v>
      </c>
      <c r="P21" s="115"/>
      <c r="Q21" s="116"/>
      <c r="R21" s="115"/>
      <c r="S21" s="116"/>
      <c r="T21" s="115">
        <v>1035</v>
      </c>
      <c r="U21" s="116">
        <v>1883</v>
      </c>
      <c r="V21" s="150"/>
      <c r="W21" s="120"/>
      <c r="X21" s="149"/>
      <c r="Y21" s="116"/>
      <c r="Z21" s="849"/>
      <c r="AA21" s="122"/>
      <c r="AB21" s="149">
        <v>1791</v>
      </c>
      <c r="AC21" s="116">
        <v>5473</v>
      </c>
      <c r="AD21" s="149"/>
      <c r="AE21" s="116"/>
      <c r="AF21" s="149"/>
      <c r="AG21" s="110"/>
      <c r="AH21" s="149"/>
      <c r="AI21" s="116"/>
      <c r="AJ21" s="149">
        <v>-2484</v>
      </c>
      <c r="AK21" s="116">
        <v>11225</v>
      </c>
      <c r="AL21" s="149"/>
      <c r="AM21" s="116"/>
      <c r="AN21" s="858"/>
      <c r="AO21" s="252"/>
      <c r="AP21" s="248"/>
      <c r="AQ21" s="861"/>
      <c r="AR21" s="138"/>
      <c r="AS21" s="140"/>
      <c r="AT21" s="118"/>
      <c r="AU21" s="120"/>
      <c r="AV21" s="152">
        <f t="shared" si="4"/>
        <v>3192</v>
      </c>
      <c r="AW21" s="153">
        <f t="shared" si="4"/>
        <v>25558</v>
      </c>
      <c r="AX21" s="118"/>
      <c r="AY21" s="120"/>
      <c r="AZ21" s="152">
        <f t="shared" si="5"/>
        <v>3192</v>
      </c>
      <c r="BA21" s="154">
        <f t="shared" si="5"/>
        <v>25558</v>
      </c>
    </row>
    <row r="22" spans="1:53" s="111" customFormat="1" ht="14.25" x14ac:dyDescent="0.3">
      <c r="A22" s="459" t="s">
        <v>49</v>
      </c>
      <c r="B22" s="148"/>
      <c r="C22" s="113"/>
      <c r="D22" s="115"/>
      <c r="E22" s="120"/>
      <c r="F22" s="119"/>
      <c r="G22" s="120"/>
      <c r="H22" s="119">
        <v>72067</v>
      </c>
      <c r="I22" s="120">
        <v>201481</v>
      </c>
      <c r="J22" s="150"/>
      <c r="K22" s="120"/>
      <c r="L22" s="150"/>
      <c r="M22" s="120"/>
      <c r="N22" s="119">
        <v>10316</v>
      </c>
      <c r="O22" s="120">
        <v>10316</v>
      </c>
      <c r="P22" s="115"/>
      <c r="Q22" s="116"/>
      <c r="R22" s="115"/>
      <c r="S22" s="116"/>
      <c r="T22" s="155">
        <f>96727+165+2251</f>
        <v>99143</v>
      </c>
      <c r="U22" s="181">
        <f>322863+503125+4949</f>
        <v>830937</v>
      </c>
      <c r="V22" s="150"/>
      <c r="W22" s="120"/>
      <c r="X22" s="149"/>
      <c r="Y22" s="116"/>
      <c r="Z22" s="849">
        <v>506</v>
      </c>
      <c r="AA22" s="122">
        <v>1663</v>
      </c>
      <c r="AB22" s="149"/>
      <c r="AC22" s="116"/>
      <c r="AD22" s="149">
        <v>8451</v>
      </c>
      <c r="AE22" s="116">
        <v>41354</v>
      </c>
      <c r="AF22" s="149">
        <v>58168</v>
      </c>
      <c r="AG22" s="110">
        <v>196007</v>
      </c>
      <c r="AH22" s="149"/>
      <c r="AI22" s="116"/>
      <c r="AJ22" s="149">
        <v>89162</v>
      </c>
      <c r="AK22" s="116">
        <v>380821</v>
      </c>
      <c r="AL22" s="149"/>
      <c r="AM22" s="116"/>
      <c r="AN22" s="858">
        <v>6702</v>
      </c>
      <c r="AO22" s="252">
        <v>21391</v>
      </c>
      <c r="AP22" s="248">
        <v>11553</v>
      </c>
      <c r="AQ22" s="861">
        <v>46267</v>
      </c>
      <c r="AR22" s="138">
        <f>4408+525+1947</f>
        <v>6880</v>
      </c>
      <c r="AS22" s="140">
        <f>26396+3599+9566</f>
        <v>39561</v>
      </c>
      <c r="AT22" s="118"/>
      <c r="AU22" s="120">
        <v>-6609</v>
      </c>
      <c r="AV22" s="152">
        <f t="shared" si="4"/>
        <v>362948</v>
      </c>
      <c r="AW22" s="153">
        <f t="shared" si="4"/>
        <v>1763189</v>
      </c>
      <c r="AX22" s="118">
        <v>5457799</v>
      </c>
      <c r="AY22" s="120">
        <v>6210020</v>
      </c>
      <c r="AZ22" s="152">
        <f t="shared" si="5"/>
        <v>5820747</v>
      </c>
      <c r="BA22" s="154">
        <f t="shared" si="5"/>
        <v>7973209</v>
      </c>
    </row>
    <row r="23" spans="1:53" s="111" customFormat="1" ht="14.25" x14ac:dyDescent="0.3">
      <c r="A23" s="459" t="s">
        <v>50</v>
      </c>
      <c r="B23" s="148"/>
      <c r="C23" s="113"/>
      <c r="D23" s="115"/>
      <c r="E23" s="120"/>
      <c r="F23" s="119"/>
      <c r="G23" s="120"/>
      <c r="H23" s="119"/>
      <c r="I23" s="120"/>
      <c r="J23" s="150"/>
      <c r="K23" s="120"/>
      <c r="L23" s="150"/>
      <c r="M23" s="120"/>
      <c r="N23" s="119"/>
      <c r="O23" s="120"/>
      <c r="P23" s="115"/>
      <c r="Q23" s="116"/>
      <c r="R23" s="115"/>
      <c r="S23" s="116"/>
      <c r="T23" s="115"/>
      <c r="U23" s="116"/>
      <c r="V23" s="150"/>
      <c r="W23" s="120"/>
      <c r="X23" s="149"/>
      <c r="Y23" s="116"/>
      <c r="Z23" s="849"/>
      <c r="AA23" s="122"/>
      <c r="AB23" s="149"/>
      <c r="AC23" s="116"/>
      <c r="AD23" s="149"/>
      <c r="AE23" s="116"/>
      <c r="AF23" s="149"/>
      <c r="AG23" s="110"/>
      <c r="AH23" s="149"/>
      <c r="AI23" s="116"/>
      <c r="AJ23" s="149"/>
      <c r="AK23" s="116"/>
      <c r="AL23" s="149"/>
      <c r="AM23" s="116"/>
      <c r="AN23" s="150"/>
      <c r="AO23" s="120"/>
      <c r="AP23" s="248"/>
      <c r="AQ23" s="861"/>
      <c r="AR23" s="138"/>
      <c r="AS23" s="140"/>
      <c r="AT23" s="118"/>
      <c r="AU23" s="120"/>
      <c r="AV23" s="152"/>
      <c r="AW23" s="153"/>
      <c r="AX23" s="118"/>
      <c r="AY23" s="120"/>
      <c r="AZ23" s="152"/>
      <c r="BA23" s="154"/>
    </row>
    <row r="24" spans="1:53" s="111" customFormat="1" ht="14.25" x14ac:dyDescent="0.3">
      <c r="A24" s="459" t="s">
        <v>33</v>
      </c>
      <c r="B24" s="156">
        <v>-457285</v>
      </c>
      <c r="C24" s="157">
        <v>-1510817</v>
      </c>
      <c r="D24" s="128">
        <v>-64045</v>
      </c>
      <c r="E24" s="146">
        <v>-216237</v>
      </c>
      <c r="F24" s="145">
        <v>-123595</v>
      </c>
      <c r="G24" s="146">
        <v>-498925</v>
      </c>
      <c r="H24" s="145">
        <v>-194658</v>
      </c>
      <c r="I24" s="146">
        <v>-550661</v>
      </c>
      <c r="J24" s="152">
        <v>-59416</v>
      </c>
      <c r="K24" s="146">
        <v>-203980</v>
      </c>
      <c r="L24" s="152">
        <v>-57135</v>
      </c>
      <c r="M24" s="146">
        <v>-167663</v>
      </c>
      <c r="N24" s="145">
        <v>-312643</v>
      </c>
      <c r="O24" s="146">
        <v>-834085</v>
      </c>
      <c r="P24" s="128">
        <v>-52923</v>
      </c>
      <c r="Q24" s="159">
        <v>-132427</v>
      </c>
      <c r="R24" s="128">
        <v>-562939</v>
      </c>
      <c r="S24" s="159">
        <v>-657367</v>
      </c>
      <c r="T24" s="128">
        <v>-44834</v>
      </c>
      <c r="U24" s="159">
        <v>-339100</v>
      </c>
      <c r="V24" s="152">
        <v>-536171</v>
      </c>
      <c r="W24" s="146">
        <v>-1745406</v>
      </c>
      <c r="X24" s="158">
        <v>-589993</v>
      </c>
      <c r="Y24" s="159">
        <v>-2288100</v>
      </c>
      <c r="Z24" s="849">
        <v>-29134</v>
      </c>
      <c r="AA24" s="122">
        <v>-92766</v>
      </c>
      <c r="AB24" s="158">
        <v>-196218</v>
      </c>
      <c r="AC24" s="159">
        <v>-699576</v>
      </c>
      <c r="AD24" s="852">
        <v>-155011</v>
      </c>
      <c r="AE24" s="853">
        <v>-607933</v>
      </c>
      <c r="AF24" s="158">
        <v>-300426</v>
      </c>
      <c r="AG24" s="110">
        <v>-942652</v>
      </c>
      <c r="AH24" s="158">
        <v>-205539</v>
      </c>
      <c r="AI24" s="159">
        <v>-834942</v>
      </c>
      <c r="AJ24" s="158">
        <v>-87403</v>
      </c>
      <c r="AK24" s="159">
        <v>-232157</v>
      </c>
      <c r="AL24" s="149"/>
      <c r="AM24" s="116"/>
      <c r="AN24" s="858">
        <v>-512132</v>
      </c>
      <c r="AO24" s="252">
        <v>-1677537</v>
      </c>
      <c r="AP24" s="248">
        <v>-9806</v>
      </c>
      <c r="AQ24" s="861">
        <v>-33312</v>
      </c>
      <c r="AR24" s="138">
        <v>-113059</v>
      </c>
      <c r="AS24" s="140">
        <v>-369459</v>
      </c>
      <c r="AT24" s="141">
        <v>-255917</v>
      </c>
      <c r="AU24" s="146">
        <v>-787255</v>
      </c>
      <c r="AV24" s="152">
        <f>SUM(B24+D24+F24+H24+J24+L24+N24+P24+R24+T24+V24+X24+Z24+AB24+AD24+AF24+AH24+AJ24+AL24+AN24+AP24+AR24+AT24)</f>
        <v>-4920282</v>
      </c>
      <c r="AW24" s="153">
        <f>SUM(C24+E24+G24+I24+K24+M24+O24+Q24+S24+U24+W24+Y24+AA24+AC24+AE24+AG24+AI24+AK24+AM24+AO24+AQ24+AS24+AU24)</f>
        <v>-15422357</v>
      </c>
      <c r="AX24" s="141">
        <v>-835027</v>
      </c>
      <c r="AY24" s="146">
        <v>-1394841</v>
      </c>
      <c r="AZ24" s="152">
        <f>AV24+AX24</f>
        <v>-5755309</v>
      </c>
      <c r="BA24" s="154">
        <f>AW24+AY24</f>
        <v>-16817198</v>
      </c>
    </row>
    <row r="25" spans="1:53" s="111" customFormat="1" ht="14.25" x14ac:dyDescent="0.3">
      <c r="A25" s="459" t="s">
        <v>34</v>
      </c>
      <c r="B25" s="148"/>
      <c r="C25" s="113"/>
      <c r="D25" s="115"/>
      <c r="E25" s="120"/>
      <c r="F25" s="119"/>
      <c r="G25" s="120"/>
      <c r="H25" s="119"/>
      <c r="I25" s="120"/>
      <c r="J25" s="150"/>
      <c r="K25" s="120"/>
      <c r="L25" s="150"/>
      <c r="M25" s="120"/>
      <c r="N25" s="119"/>
      <c r="O25" s="120"/>
      <c r="P25" s="115"/>
      <c r="Q25" s="116"/>
      <c r="R25" s="115"/>
      <c r="S25" s="116"/>
      <c r="T25" s="115"/>
      <c r="U25" s="116"/>
      <c r="V25" s="150"/>
      <c r="W25" s="120"/>
      <c r="X25" s="149"/>
      <c r="Y25" s="116"/>
      <c r="Z25" s="849"/>
      <c r="AA25" s="122"/>
      <c r="AB25" s="149"/>
      <c r="AC25" s="116"/>
      <c r="AD25" s="149"/>
      <c r="AE25" s="116"/>
      <c r="AF25" s="149"/>
      <c r="AG25" s="110"/>
      <c r="AH25" s="149"/>
      <c r="AI25" s="116"/>
      <c r="AJ25" s="149"/>
      <c r="AK25" s="116"/>
      <c r="AL25" s="149"/>
      <c r="AM25" s="116"/>
      <c r="AN25" s="150"/>
      <c r="AO25" s="120"/>
      <c r="AP25" s="248"/>
      <c r="AQ25" s="861"/>
      <c r="AR25" s="138"/>
      <c r="AS25" s="140"/>
      <c r="AT25" s="118"/>
      <c r="AU25" s="120"/>
      <c r="AV25" s="152"/>
      <c r="AW25" s="153"/>
      <c r="AX25" s="138"/>
      <c r="AY25" s="140"/>
      <c r="AZ25" s="152"/>
      <c r="BA25" s="154"/>
    </row>
    <row r="26" spans="1:53" s="111" customFormat="1" ht="14.25" x14ac:dyDescent="0.3">
      <c r="A26" s="459" t="s">
        <v>51</v>
      </c>
      <c r="B26" s="148"/>
      <c r="C26" s="113"/>
      <c r="D26" s="115"/>
      <c r="E26" s="120"/>
      <c r="F26" s="119"/>
      <c r="G26" s="120"/>
      <c r="H26" s="119"/>
      <c r="I26" s="120"/>
      <c r="J26" s="150"/>
      <c r="K26" s="120"/>
      <c r="L26" s="150"/>
      <c r="M26" s="120"/>
      <c r="N26" s="119"/>
      <c r="O26" s="120"/>
      <c r="P26" s="115"/>
      <c r="Q26" s="116"/>
      <c r="R26" s="115"/>
      <c r="S26" s="116"/>
      <c r="T26" s="115"/>
      <c r="U26" s="116"/>
      <c r="V26" s="150"/>
      <c r="W26" s="120"/>
      <c r="X26" s="149"/>
      <c r="Y26" s="116"/>
      <c r="Z26" s="849"/>
      <c r="AA26" s="122"/>
      <c r="AB26" s="149"/>
      <c r="AC26" s="116"/>
      <c r="AD26" s="149"/>
      <c r="AE26" s="116"/>
      <c r="AF26" s="149"/>
      <c r="AG26" s="110"/>
      <c r="AH26" s="149"/>
      <c r="AI26" s="116"/>
      <c r="AJ26" s="149"/>
      <c r="AK26" s="116"/>
      <c r="AL26" s="149"/>
      <c r="AM26" s="116"/>
      <c r="AN26" s="150"/>
      <c r="AO26" s="120"/>
      <c r="AP26" s="248"/>
      <c r="AQ26" s="861"/>
      <c r="AR26" s="138"/>
      <c r="AS26" s="140"/>
      <c r="AT26" s="118"/>
      <c r="AU26" s="120"/>
      <c r="AV26" s="152"/>
      <c r="AW26" s="153"/>
      <c r="AX26" s="138"/>
      <c r="AY26" s="140"/>
      <c r="AZ26" s="152"/>
      <c r="BA26" s="154"/>
    </row>
    <row r="27" spans="1:53" s="111" customFormat="1" ht="14.25" x14ac:dyDescent="0.3">
      <c r="A27" s="459" t="s">
        <v>52</v>
      </c>
      <c r="B27" s="148">
        <v>-787</v>
      </c>
      <c r="C27" s="113">
        <v>-5759</v>
      </c>
      <c r="D27" s="115">
        <v>-1833</v>
      </c>
      <c r="E27" s="120">
        <v>-6104</v>
      </c>
      <c r="F27" s="119"/>
      <c r="G27" s="120"/>
      <c r="H27" s="119">
        <v>318</v>
      </c>
      <c r="I27" s="120">
        <v>708</v>
      </c>
      <c r="J27" s="150">
        <v>-241</v>
      </c>
      <c r="K27" s="120">
        <v>-367</v>
      </c>
      <c r="L27" s="150"/>
      <c r="M27" s="120"/>
      <c r="N27" s="119">
        <v>-785</v>
      </c>
      <c r="O27" s="120">
        <v>-785</v>
      </c>
      <c r="P27" s="115">
        <v>32</v>
      </c>
      <c r="Q27" s="116">
        <v>-167</v>
      </c>
      <c r="R27" s="115"/>
      <c r="S27" s="116"/>
      <c r="T27" s="115"/>
      <c r="U27" s="116"/>
      <c r="V27" s="150">
        <v>-94385</v>
      </c>
      <c r="W27" s="120">
        <v>-223266</v>
      </c>
      <c r="X27" s="149">
        <v>-95719</v>
      </c>
      <c r="Y27" s="116">
        <v>-361445</v>
      </c>
      <c r="Z27" s="849">
        <v>-44</v>
      </c>
      <c r="AA27" s="122">
        <v>-1791</v>
      </c>
      <c r="AB27" s="149">
        <v>-2029</v>
      </c>
      <c r="AC27" s="116">
        <v>-8771</v>
      </c>
      <c r="AD27" s="149"/>
      <c r="AE27" s="116"/>
      <c r="AF27" s="149">
        <v>-9449</v>
      </c>
      <c r="AG27" s="110">
        <v>-39210</v>
      </c>
      <c r="AH27" s="149">
        <v>-10299</v>
      </c>
      <c r="AI27" s="116">
        <v>-32710</v>
      </c>
      <c r="AJ27" s="149">
        <v>-99</v>
      </c>
      <c r="AK27" s="116">
        <v>-845</v>
      </c>
      <c r="AL27" s="149"/>
      <c r="AM27" s="116"/>
      <c r="AN27" s="858">
        <v>-245</v>
      </c>
      <c r="AO27" s="252">
        <v>-526</v>
      </c>
      <c r="AP27" s="248"/>
      <c r="AQ27" s="861"/>
      <c r="AR27" s="138">
        <v>-96</v>
      </c>
      <c r="AS27" s="140">
        <v>394</v>
      </c>
      <c r="AT27" s="118"/>
      <c r="AU27" s="120"/>
      <c r="AV27" s="152">
        <f>SUM(B27+D27+F27+H27+J27+L27+N27+P27+R27+T27+V27+X27+Z27+AB27+AD27+AF27+AH27+AJ27+AL27+AN27+AP27+AR27+AT27)</f>
        <v>-215661</v>
      </c>
      <c r="AW27" s="153">
        <f>SUM(C27+E27+G27+I27+K27+M27+O27+Q27+S27+U27+W27+Y27+AA27+AC27+AE27+AG27+AI27+AK27+AM27+AO27+AQ27+AS27+AU27)</f>
        <v>-680644</v>
      </c>
      <c r="AX27" s="138">
        <v>-34803</v>
      </c>
      <c r="AY27" s="140">
        <v>-135194</v>
      </c>
      <c r="AZ27" s="152">
        <f>AV27+AX27</f>
        <v>-250464</v>
      </c>
      <c r="BA27" s="154">
        <f>AW27+AY27</f>
        <v>-815838</v>
      </c>
    </row>
    <row r="28" spans="1:53" s="111" customFormat="1" ht="14.25" x14ac:dyDescent="0.3">
      <c r="A28" s="459" t="s">
        <v>53</v>
      </c>
      <c r="B28" s="148"/>
      <c r="C28" s="113"/>
      <c r="D28" s="115">
        <v>-8551</v>
      </c>
      <c r="E28" s="120">
        <v>-12829</v>
      </c>
      <c r="F28" s="119"/>
      <c r="G28" s="120"/>
      <c r="H28" s="119">
        <v>-489</v>
      </c>
      <c r="I28" s="120">
        <v>-911</v>
      </c>
      <c r="J28" s="150">
        <v>-750</v>
      </c>
      <c r="K28" s="120">
        <v>-10470</v>
      </c>
      <c r="L28" s="150"/>
      <c r="M28" s="120"/>
      <c r="N28" s="119"/>
      <c r="O28" s="120"/>
      <c r="P28" s="115"/>
      <c r="Q28" s="116"/>
      <c r="R28" s="115"/>
      <c r="S28" s="116"/>
      <c r="T28" s="115"/>
      <c r="U28" s="116"/>
      <c r="V28" s="150"/>
      <c r="W28" s="120"/>
      <c r="X28" s="149"/>
      <c r="Y28" s="116"/>
      <c r="Z28" s="849"/>
      <c r="AA28" s="122">
        <v>-73</v>
      </c>
      <c r="AB28" s="149"/>
      <c r="AC28" s="116"/>
      <c r="AD28" s="149">
        <v>-200</v>
      </c>
      <c r="AE28" s="116">
        <v>-250</v>
      </c>
      <c r="AF28" s="149"/>
      <c r="AG28" s="116"/>
      <c r="AH28" s="149"/>
      <c r="AI28" s="116"/>
      <c r="AJ28" s="149"/>
      <c r="AK28" s="116"/>
      <c r="AL28" s="149"/>
      <c r="AM28" s="116"/>
      <c r="AN28" s="858"/>
      <c r="AO28" s="252"/>
      <c r="AP28" s="248"/>
      <c r="AQ28" s="861"/>
      <c r="AR28" s="138"/>
      <c r="AS28" s="140"/>
      <c r="AT28" s="118"/>
      <c r="AU28" s="120"/>
      <c r="AV28" s="152">
        <f>SUM(B28+D28+F28+H28+J28+L28+N28+P28+R28+T28+V28+X28+Z28+AB28+AD28+AF28+AH28+AJ28+AL28+AN28+AP28+AR28+AT28)</f>
        <v>-9990</v>
      </c>
      <c r="AW28" s="153">
        <f>SUM(C28+E28+G28+I28+K28+M28+O28+Q28+S28+U28+W28+Y28+AA28+AC28+AE28+AG28+AI28+AK28+AM28+AO28+AQ28+AS28+AU28)</f>
        <v>-24533</v>
      </c>
      <c r="AX28" s="138"/>
      <c r="AY28" s="140"/>
      <c r="AZ28" s="152">
        <f>AV28+AX28</f>
        <v>-9990</v>
      </c>
      <c r="BA28" s="154">
        <f>AW28+AY28</f>
        <v>-24533</v>
      </c>
    </row>
    <row r="29" spans="1:53" s="111" customFormat="1" ht="14.25" x14ac:dyDescent="0.3">
      <c r="A29" s="459" t="s">
        <v>54</v>
      </c>
      <c r="B29" s="156"/>
      <c r="C29" s="157"/>
      <c r="D29" s="128"/>
      <c r="E29" s="146"/>
      <c r="F29" s="145"/>
      <c r="G29" s="146"/>
      <c r="H29" s="145"/>
      <c r="I29" s="146"/>
      <c r="J29" s="152"/>
      <c r="K29" s="146"/>
      <c r="L29" s="152"/>
      <c r="M29" s="146"/>
      <c r="N29" s="145"/>
      <c r="O29" s="146"/>
      <c r="P29" s="128"/>
      <c r="Q29" s="159"/>
      <c r="R29" s="128"/>
      <c r="S29" s="159"/>
      <c r="T29" s="128"/>
      <c r="U29" s="159"/>
      <c r="V29" s="152"/>
      <c r="W29" s="146"/>
      <c r="X29" s="158"/>
      <c r="Y29" s="159"/>
      <c r="Z29" s="849"/>
      <c r="AA29" s="122"/>
      <c r="AB29" s="158"/>
      <c r="AC29" s="159"/>
      <c r="AD29" s="852"/>
      <c r="AE29" s="853"/>
      <c r="AF29" s="158"/>
      <c r="AG29" s="159"/>
      <c r="AH29" s="158"/>
      <c r="AI29" s="159"/>
      <c r="AJ29" s="158"/>
      <c r="AK29" s="159"/>
      <c r="AL29" s="149"/>
      <c r="AM29" s="116"/>
      <c r="AN29" s="150"/>
      <c r="AO29" s="120"/>
      <c r="AP29" s="248"/>
      <c r="AQ29" s="861"/>
      <c r="AR29" s="138"/>
      <c r="AS29" s="140"/>
      <c r="AT29" s="141"/>
      <c r="AU29" s="146"/>
      <c r="AV29" s="152"/>
      <c r="AW29" s="153"/>
      <c r="AX29" s="141"/>
      <c r="AY29" s="146"/>
      <c r="AZ29" s="152"/>
      <c r="BA29" s="154"/>
    </row>
    <row r="30" spans="1:53" s="111" customFormat="1" ht="14.25" x14ac:dyDescent="0.3">
      <c r="A30" s="459" t="s">
        <v>33</v>
      </c>
      <c r="B30" s="148"/>
      <c r="C30" s="113"/>
      <c r="D30" s="115"/>
      <c r="E30" s="120"/>
      <c r="F30" s="119"/>
      <c r="G30" s="120"/>
      <c r="H30" s="119"/>
      <c r="I30" s="120"/>
      <c r="J30" s="150"/>
      <c r="K30" s="120"/>
      <c r="L30" s="150"/>
      <c r="M30" s="120"/>
      <c r="N30" s="119"/>
      <c r="O30" s="120"/>
      <c r="P30" s="115"/>
      <c r="Q30" s="116"/>
      <c r="R30" s="115"/>
      <c r="S30" s="116"/>
      <c r="T30" s="115"/>
      <c r="U30" s="116"/>
      <c r="V30" s="150"/>
      <c r="W30" s="120"/>
      <c r="X30" s="149"/>
      <c r="Y30" s="116"/>
      <c r="Z30" s="849"/>
      <c r="AA30" s="122"/>
      <c r="AB30" s="149"/>
      <c r="AC30" s="116"/>
      <c r="AD30" s="149"/>
      <c r="AE30" s="116"/>
      <c r="AF30" s="149"/>
      <c r="AG30" s="116"/>
      <c r="AH30" s="149"/>
      <c r="AI30" s="116"/>
      <c r="AJ30" s="149"/>
      <c r="AK30" s="116"/>
      <c r="AL30" s="149"/>
      <c r="AM30" s="116"/>
      <c r="AN30" s="150"/>
      <c r="AO30" s="120"/>
      <c r="AP30" s="248"/>
      <c r="AQ30" s="861"/>
      <c r="AR30" s="138"/>
      <c r="AS30" s="140"/>
      <c r="AT30" s="118"/>
      <c r="AU30" s="120"/>
      <c r="AV30" s="152">
        <f>SUM(B30+D30+F30+H30+J30+L30+N30+P30+R30+T30+V30+X30+Z30+AB30+AD30+AF30+AH30+AJ30+AL30+AN30+AP30+AR30+AT30)</f>
        <v>0</v>
      </c>
      <c r="AW30" s="153">
        <f>SUM(C30+E30+G30+I30+K30+M30+O30+Q30+S30+U30+W30+Y30+AA30+AC30+AE30+AG30+AI30+AK30+AM30+AO30+AQ30+AS30+AU30)</f>
        <v>0</v>
      </c>
      <c r="AX30" s="138"/>
      <c r="AY30" s="140"/>
      <c r="AZ30" s="152">
        <f>AV30+AX30</f>
        <v>0</v>
      </c>
      <c r="BA30" s="154">
        <f>AW30+AY30</f>
        <v>0</v>
      </c>
    </row>
    <row r="31" spans="1:53" s="111" customFormat="1" ht="14.25" x14ac:dyDescent="0.3">
      <c r="A31" s="459" t="s">
        <v>34</v>
      </c>
      <c r="B31" s="148"/>
      <c r="C31" s="113"/>
      <c r="D31" s="115"/>
      <c r="E31" s="120"/>
      <c r="F31" s="119"/>
      <c r="G31" s="120"/>
      <c r="H31" s="119"/>
      <c r="I31" s="120"/>
      <c r="J31" s="150"/>
      <c r="K31" s="120"/>
      <c r="L31" s="150"/>
      <c r="M31" s="120"/>
      <c r="N31" s="119"/>
      <c r="O31" s="120"/>
      <c r="P31" s="115"/>
      <c r="Q31" s="116"/>
      <c r="R31" s="115"/>
      <c r="S31" s="116"/>
      <c r="T31" s="115"/>
      <c r="U31" s="116"/>
      <c r="V31" s="150"/>
      <c r="W31" s="120"/>
      <c r="X31" s="149"/>
      <c r="Y31" s="116"/>
      <c r="Z31" s="849"/>
      <c r="AA31" s="122"/>
      <c r="AB31" s="149"/>
      <c r="AC31" s="116"/>
      <c r="AD31" s="149"/>
      <c r="AE31" s="116"/>
      <c r="AF31" s="149"/>
      <c r="AG31" s="116"/>
      <c r="AH31" s="149"/>
      <c r="AI31" s="116"/>
      <c r="AJ31" s="149"/>
      <c r="AK31" s="116"/>
      <c r="AL31" s="149"/>
      <c r="AM31" s="116"/>
      <c r="AN31" s="150"/>
      <c r="AO31" s="120"/>
      <c r="AP31" s="248"/>
      <c r="AQ31" s="861"/>
      <c r="AR31" s="138"/>
      <c r="AS31" s="140"/>
      <c r="AT31" s="118"/>
      <c r="AU31" s="120"/>
      <c r="AV31" s="152"/>
      <c r="AW31" s="153"/>
      <c r="AX31" s="138"/>
      <c r="AY31" s="140"/>
      <c r="AZ31" s="152"/>
      <c r="BA31" s="154"/>
    </row>
    <row r="32" spans="1:53" s="111" customFormat="1" ht="14.25" x14ac:dyDescent="0.3">
      <c r="A32" s="459" t="s">
        <v>51</v>
      </c>
      <c r="B32" s="148"/>
      <c r="C32" s="113"/>
      <c r="D32" s="115"/>
      <c r="E32" s="120"/>
      <c r="F32" s="119"/>
      <c r="G32" s="120"/>
      <c r="H32" s="119"/>
      <c r="I32" s="120"/>
      <c r="J32" s="150"/>
      <c r="K32" s="120"/>
      <c r="L32" s="150"/>
      <c r="M32" s="120"/>
      <c r="N32" s="119"/>
      <c r="O32" s="120"/>
      <c r="P32" s="115"/>
      <c r="Q32" s="116"/>
      <c r="R32" s="115"/>
      <c r="S32" s="116"/>
      <c r="T32" s="115"/>
      <c r="U32" s="116"/>
      <c r="V32" s="150"/>
      <c r="W32" s="120"/>
      <c r="X32" s="149"/>
      <c r="Y32" s="116"/>
      <c r="Z32" s="849"/>
      <c r="AA32" s="122"/>
      <c r="AB32" s="149"/>
      <c r="AC32" s="116"/>
      <c r="AD32" s="149"/>
      <c r="AE32" s="116"/>
      <c r="AF32" s="149"/>
      <c r="AG32" s="116"/>
      <c r="AH32" s="149"/>
      <c r="AI32" s="116"/>
      <c r="AJ32" s="149"/>
      <c r="AK32" s="116"/>
      <c r="AL32" s="149"/>
      <c r="AM32" s="116"/>
      <c r="AN32" s="150"/>
      <c r="AO32" s="120"/>
      <c r="AP32" s="248"/>
      <c r="AQ32" s="861"/>
      <c r="AR32" s="138"/>
      <c r="AS32" s="140"/>
      <c r="AT32" s="118"/>
      <c r="AU32" s="120"/>
      <c r="AV32" s="152"/>
      <c r="AW32" s="153"/>
      <c r="AX32" s="138"/>
      <c r="AY32" s="140"/>
      <c r="AZ32" s="152"/>
      <c r="BA32" s="154"/>
    </row>
    <row r="33" spans="1:53" s="111" customFormat="1" thickBot="1" x14ac:dyDescent="0.35">
      <c r="A33" s="848" t="s">
        <v>55</v>
      </c>
      <c r="B33" s="160"/>
      <c r="C33" s="161"/>
      <c r="D33" s="163"/>
      <c r="E33" s="164"/>
      <c r="F33" s="166"/>
      <c r="G33" s="164"/>
      <c r="H33" s="166"/>
      <c r="I33" s="164"/>
      <c r="J33" s="165"/>
      <c r="K33" s="164"/>
      <c r="L33" s="165"/>
      <c r="M33" s="164"/>
      <c r="N33" s="166"/>
      <c r="O33" s="164"/>
      <c r="P33" s="163"/>
      <c r="Q33" s="167"/>
      <c r="R33" s="163"/>
      <c r="S33" s="167"/>
      <c r="T33" s="163"/>
      <c r="U33" s="167"/>
      <c r="V33" s="165"/>
      <c r="W33" s="164"/>
      <c r="X33" s="162"/>
      <c r="Y33" s="167"/>
      <c r="Z33" s="850"/>
      <c r="AA33" s="851"/>
      <c r="AB33" s="162"/>
      <c r="AC33" s="167"/>
      <c r="AD33" s="162"/>
      <c r="AE33" s="167"/>
      <c r="AF33" s="162"/>
      <c r="AG33" s="167"/>
      <c r="AH33" s="162"/>
      <c r="AI33" s="167"/>
      <c r="AJ33" s="162"/>
      <c r="AK33" s="167"/>
      <c r="AL33" s="162"/>
      <c r="AM33" s="167"/>
      <c r="AN33" s="859"/>
      <c r="AO33" s="253"/>
      <c r="AP33" s="249"/>
      <c r="AQ33" s="862"/>
      <c r="AR33" s="169"/>
      <c r="AS33" s="394"/>
      <c r="AT33" s="168"/>
      <c r="AU33" s="164"/>
      <c r="AV33" s="170"/>
      <c r="AW33" s="171"/>
      <c r="AX33" s="169"/>
      <c r="AY33" s="394"/>
      <c r="AZ33" s="170"/>
      <c r="BA33" s="172"/>
    </row>
    <row r="34" spans="1:53" s="574" customFormat="1" thickBot="1" x14ac:dyDescent="0.35">
      <c r="A34" s="610" t="s">
        <v>56</v>
      </c>
      <c r="B34" s="613">
        <f t="shared" ref="B34:AE34" si="6">SUM(B6:B33)</f>
        <v>13667082</v>
      </c>
      <c r="C34" s="614">
        <f t="shared" si="6"/>
        <v>50553103</v>
      </c>
      <c r="D34" s="601">
        <f t="shared" si="6"/>
        <v>1091173</v>
      </c>
      <c r="E34" s="602">
        <f t="shared" si="6"/>
        <v>3452646</v>
      </c>
      <c r="F34" s="572">
        <f t="shared" si="6"/>
        <v>4824899</v>
      </c>
      <c r="G34" s="595">
        <f t="shared" si="6"/>
        <v>16113893</v>
      </c>
      <c r="H34" s="551">
        <f t="shared" si="6"/>
        <v>23956984</v>
      </c>
      <c r="I34" s="553">
        <f t="shared" si="6"/>
        <v>80535460</v>
      </c>
      <c r="J34" s="554">
        <f t="shared" si="6"/>
        <v>1757600</v>
      </c>
      <c r="K34" s="595">
        <f t="shared" si="6"/>
        <v>5697948</v>
      </c>
      <c r="L34" s="554">
        <f t="shared" si="6"/>
        <v>4253668</v>
      </c>
      <c r="M34" s="553">
        <f t="shared" si="6"/>
        <v>17857419</v>
      </c>
      <c r="N34" s="551">
        <f t="shared" si="6"/>
        <v>848831</v>
      </c>
      <c r="O34" s="553">
        <f t="shared" si="6"/>
        <v>2553674</v>
      </c>
      <c r="P34" s="551">
        <f t="shared" si="6"/>
        <v>223329</v>
      </c>
      <c r="Q34" s="553">
        <f t="shared" si="6"/>
        <v>746504</v>
      </c>
      <c r="R34" s="551">
        <f t="shared" si="6"/>
        <v>11992890</v>
      </c>
      <c r="S34" s="553">
        <f t="shared" si="6"/>
        <v>12318295</v>
      </c>
      <c r="T34" s="551">
        <f t="shared" si="6"/>
        <v>1184623</v>
      </c>
      <c r="U34" s="553">
        <f t="shared" si="6"/>
        <v>4043642</v>
      </c>
      <c r="V34" s="554">
        <f t="shared" si="6"/>
        <v>43325769</v>
      </c>
      <c r="W34" s="553">
        <f t="shared" si="6"/>
        <v>128948777</v>
      </c>
      <c r="X34" s="554">
        <f t="shared" si="6"/>
        <v>45374746</v>
      </c>
      <c r="Y34" s="553">
        <f t="shared" si="6"/>
        <v>172258617</v>
      </c>
      <c r="Z34" s="554">
        <f t="shared" si="6"/>
        <v>1471827</v>
      </c>
      <c r="AA34" s="553">
        <f t="shared" si="6"/>
        <v>4985287</v>
      </c>
      <c r="AB34" s="554">
        <f t="shared" si="6"/>
        <v>4797004</v>
      </c>
      <c r="AC34" s="553">
        <f t="shared" si="6"/>
        <v>10989752</v>
      </c>
      <c r="AD34" s="554">
        <f t="shared" si="6"/>
        <v>9444244</v>
      </c>
      <c r="AE34" s="553">
        <f t="shared" si="6"/>
        <v>27709336</v>
      </c>
      <c r="AF34" s="554">
        <f>SUM(AF6:AF33)</f>
        <v>14283946</v>
      </c>
      <c r="AG34" s="595">
        <f t="shared" ref="AG34:AU34" si="7">SUM(AG6:AG33)</f>
        <v>49456149</v>
      </c>
      <c r="AH34" s="554">
        <f t="shared" si="7"/>
        <v>6578671</v>
      </c>
      <c r="AI34" s="553">
        <f t="shared" si="7"/>
        <v>21084349</v>
      </c>
      <c r="AJ34" s="554">
        <f t="shared" si="7"/>
        <v>8807797</v>
      </c>
      <c r="AK34" s="553">
        <f t="shared" si="7"/>
        <v>29707943</v>
      </c>
      <c r="AL34" s="855">
        <f t="shared" si="7"/>
        <v>0</v>
      </c>
      <c r="AM34" s="553">
        <f t="shared" si="7"/>
        <v>0</v>
      </c>
      <c r="AN34" s="855">
        <f t="shared" si="7"/>
        <v>34881190</v>
      </c>
      <c r="AO34" s="553">
        <f t="shared" si="7"/>
        <v>116774881</v>
      </c>
      <c r="AP34" s="855">
        <f t="shared" si="7"/>
        <v>1600729</v>
      </c>
      <c r="AQ34" s="553">
        <f t="shared" si="7"/>
        <v>5688975</v>
      </c>
      <c r="AR34" s="552">
        <f t="shared" si="7"/>
        <v>2762463</v>
      </c>
      <c r="AS34" s="553">
        <f t="shared" si="7"/>
        <v>9586814</v>
      </c>
      <c r="AT34" s="552">
        <f t="shared" si="7"/>
        <v>5125221</v>
      </c>
      <c r="AU34" s="553">
        <f t="shared" si="7"/>
        <v>21570400</v>
      </c>
      <c r="AV34" s="555">
        <f>SUM(B34+D34+F34+H34+J34+L34+N34+P34+R34+T34+V34+X34+Z34+AB34+AD34+AF34+AH34+AJ34+AL34+AN34+AP34+AR34+AT34)</f>
        <v>242254686</v>
      </c>
      <c r="AW34" s="556">
        <f>SUM(C34+E34+G34+I34+K34+M34+O34+Q34+S34+U34+W34+Y34+AA34+AC34+AE34+AG34+AI34+AK34+AM34+AO34+AQ34+AS34+AU34)</f>
        <v>792633864</v>
      </c>
      <c r="AX34" s="586">
        <f>SUM(AX6:AX33)</f>
        <v>756631221</v>
      </c>
      <c r="AY34" s="587">
        <f>SUM(AY6:AY33)</f>
        <v>1965650396</v>
      </c>
      <c r="AZ34" s="555">
        <f>AV34+AX34</f>
        <v>998885907</v>
      </c>
      <c r="BA34" s="573">
        <f>AW34+AY34</f>
        <v>2758284260</v>
      </c>
    </row>
    <row r="35" spans="1:53" s="111" customFormat="1" thickBot="1" x14ac:dyDescent="0.35">
      <c r="A35" s="611" t="s">
        <v>57</v>
      </c>
      <c r="B35" s="603"/>
      <c r="C35" s="615"/>
      <c r="D35" s="604"/>
      <c r="E35" s="589"/>
      <c r="F35" s="596"/>
      <c r="G35" s="597"/>
      <c r="H35" s="176"/>
      <c r="I35" s="175"/>
      <c r="J35" s="598"/>
      <c r="K35" s="597"/>
      <c r="L35" s="176"/>
      <c r="M35" s="175"/>
      <c r="N35" s="176"/>
      <c r="O35" s="175"/>
      <c r="P35" s="173"/>
      <c r="Q35" s="174"/>
      <c r="R35" s="173"/>
      <c r="S35" s="174"/>
      <c r="T35" s="173"/>
      <c r="U35" s="174"/>
      <c r="V35" s="176"/>
      <c r="W35" s="175"/>
      <c r="X35" s="173"/>
      <c r="Y35" s="174"/>
      <c r="Z35" s="173"/>
      <c r="AA35" s="174"/>
      <c r="AB35" s="173"/>
      <c r="AC35" s="174"/>
      <c r="AD35" s="173"/>
      <c r="AE35" s="174"/>
      <c r="AF35" s="173"/>
      <c r="AG35" s="174"/>
      <c r="AH35" s="173"/>
      <c r="AI35" s="174"/>
      <c r="AJ35" s="173"/>
      <c r="AK35" s="174"/>
      <c r="AL35" s="856"/>
      <c r="AM35" s="254"/>
      <c r="AN35" s="176"/>
      <c r="AO35" s="175"/>
      <c r="AP35" s="176"/>
      <c r="AQ35" s="175"/>
      <c r="AR35" s="177"/>
      <c r="AS35" s="175"/>
      <c r="AT35" s="177"/>
      <c r="AU35" s="175"/>
      <c r="AV35" s="178"/>
      <c r="AW35" s="179"/>
      <c r="AX35" s="590"/>
      <c r="AY35" s="591"/>
      <c r="AZ35" s="178"/>
      <c r="BA35" s="180"/>
    </row>
    <row r="36" spans="1:53" s="111" customFormat="1" thickBot="1" x14ac:dyDescent="0.35">
      <c r="A36" s="611" t="s">
        <v>58</v>
      </c>
      <c r="B36" s="605">
        <f t="shared" ref="B36:AH36" si="8">B34</f>
        <v>13667082</v>
      </c>
      <c r="C36" s="616">
        <f t="shared" si="8"/>
        <v>50553103</v>
      </c>
      <c r="D36" s="606">
        <f t="shared" si="8"/>
        <v>1091173</v>
      </c>
      <c r="E36" s="597">
        <f t="shared" si="8"/>
        <v>3452646</v>
      </c>
      <c r="F36" s="588">
        <f t="shared" si="8"/>
        <v>4824899</v>
      </c>
      <c r="G36" s="589">
        <f t="shared" si="8"/>
        <v>16113893</v>
      </c>
      <c r="H36" s="176">
        <f t="shared" si="8"/>
        <v>23956984</v>
      </c>
      <c r="I36" s="175">
        <f t="shared" si="8"/>
        <v>80535460</v>
      </c>
      <c r="J36" s="599">
        <f t="shared" si="8"/>
        <v>1757600</v>
      </c>
      <c r="K36" s="589">
        <f t="shared" si="8"/>
        <v>5697948</v>
      </c>
      <c r="L36" s="176">
        <f t="shared" si="8"/>
        <v>4253668</v>
      </c>
      <c r="M36" s="175">
        <f t="shared" si="8"/>
        <v>17857419</v>
      </c>
      <c r="N36" s="176">
        <f t="shared" si="8"/>
        <v>848831</v>
      </c>
      <c r="O36" s="175">
        <f t="shared" si="8"/>
        <v>2553674</v>
      </c>
      <c r="P36" s="176">
        <f t="shared" si="8"/>
        <v>223329</v>
      </c>
      <c r="Q36" s="175">
        <f t="shared" si="8"/>
        <v>746504</v>
      </c>
      <c r="R36" s="176">
        <f t="shared" si="8"/>
        <v>11992890</v>
      </c>
      <c r="S36" s="175">
        <f t="shared" si="8"/>
        <v>12318295</v>
      </c>
      <c r="T36" s="176">
        <f t="shared" si="8"/>
        <v>1184623</v>
      </c>
      <c r="U36" s="175">
        <f t="shared" si="8"/>
        <v>4043642</v>
      </c>
      <c r="V36" s="176">
        <f t="shared" si="8"/>
        <v>43325769</v>
      </c>
      <c r="W36" s="175">
        <f t="shared" si="8"/>
        <v>128948777</v>
      </c>
      <c r="X36" s="176">
        <v>46060458</v>
      </c>
      <c r="Y36" s="175">
        <v>174908162</v>
      </c>
      <c r="Z36" s="176">
        <f t="shared" si="8"/>
        <v>1471827</v>
      </c>
      <c r="AA36" s="175">
        <f t="shared" si="8"/>
        <v>4985287</v>
      </c>
      <c r="AB36" s="176">
        <f t="shared" si="8"/>
        <v>4797004</v>
      </c>
      <c r="AC36" s="175">
        <f t="shared" si="8"/>
        <v>10989752</v>
      </c>
      <c r="AD36" s="176">
        <f t="shared" si="8"/>
        <v>9444244</v>
      </c>
      <c r="AE36" s="175">
        <f t="shared" si="8"/>
        <v>27709336</v>
      </c>
      <c r="AF36" s="176">
        <f t="shared" si="8"/>
        <v>14283946</v>
      </c>
      <c r="AG36" s="175">
        <f t="shared" si="8"/>
        <v>49456149</v>
      </c>
      <c r="AH36" s="176">
        <f t="shared" si="8"/>
        <v>6578671</v>
      </c>
      <c r="AI36" s="175">
        <f>AI34</f>
        <v>21084349</v>
      </c>
      <c r="AJ36" s="176">
        <f>AJ34</f>
        <v>8807797</v>
      </c>
      <c r="AK36" s="133">
        <f>AK34</f>
        <v>29707943</v>
      </c>
      <c r="AL36" s="856"/>
      <c r="AM36" s="254"/>
      <c r="AN36" s="176">
        <f>AN34</f>
        <v>34881190</v>
      </c>
      <c r="AO36" s="175">
        <f t="shared" ref="AO36:AU36" si="9">AO34</f>
        <v>116774881</v>
      </c>
      <c r="AP36" s="176">
        <f t="shared" si="9"/>
        <v>1600729</v>
      </c>
      <c r="AQ36" s="175">
        <f t="shared" si="9"/>
        <v>5688975</v>
      </c>
      <c r="AR36" s="177">
        <f t="shared" si="9"/>
        <v>2762463</v>
      </c>
      <c r="AS36" s="175">
        <f t="shared" si="9"/>
        <v>9586814</v>
      </c>
      <c r="AT36" s="177">
        <f t="shared" si="9"/>
        <v>5125221</v>
      </c>
      <c r="AU36" s="175">
        <f t="shared" si="9"/>
        <v>21570400</v>
      </c>
      <c r="AV36" s="178">
        <f>SUM(B36+D36+F36+H36+J36+L36+N36+P36+R36+T36+V36+X36+Z36+AB36+AD36+AF36+AH36+AJ36+AL36+AN36+AP36+AR36+AT36)</f>
        <v>242940398</v>
      </c>
      <c r="AW36" s="179">
        <f>SUM(C36+E36+G36+I36+K36+M36+O36+Q36+S36+U36+W36+Y36+AA36+AC36+AE36+AG36+AI36+AK36+AM36+AO36+AQ36+AS36+AU36)</f>
        <v>795283409</v>
      </c>
      <c r="AX36" s="590">
        <f>AX34</f>
        <v>756631221</v>
      </c>
      <c r="AY36" s="591">
        <f>AY34</f>
        <v>1965650396</v>
      </c>
      <c r="AZ36" s="178">
        <f>AV36+AX36</f>
        <v>999571619</v>
      </c>
      <c r="BA36" s="180">
        <f>AW36+AY36</f>
        <v>2760933805</v>
      </c>
    </row>
    <row r="37" spans="1:53" s="111" customFormat="1" thickBot="1" x14ac:dyDescent="0.35">
      <c r="A37" s="612" t="s">
        <v>59</v>
      </c>
      <c r="B37" s="603"/>
      <c r="C37" s="615"/>
      <c r="D37" s="604"/>
      <c r="E37" s="589"/>
      <c r="F37" s="596"/>
      <c r="G37" s="597"/>
      <c r="H37" s="132"/>
      <c r="I37" s="133"/>
      <c r="J37" s="598"/>
      <c r="K37" s="597"/>
      <c r="L37" s="132"/>
      <c r="M37" s="133"/>
      <c r="N37" s="132"/>
      <c r="O37" s="133"/>
      <c r="P37" s="155"/>
      <c r="Q37" s="181"/>
      <c r="R37" s="155"/>
      <c r="S37" s="181"/>
      <c r="T37" s="155"/>
      <c r="U37" s="181"/>
      <c r="V37" s="132"/>
      <c r="W37" s="133"/>
      <c r="X37" s="155"/>
      <c r="Y37" s="181"/>
      <c r="Z37" s="155"/>
      <c r="AA37" s="181"/>
      <c r="AB37" s="155"/>
      <c r="AC37" s="181"/>
      <c r="AD37" s="155"/>
      <c r="AE37" s="181"/>
      <c r="AF37" s="155"/>
      <c r="AG37" s="181"/>
      <c r="AH37" s="155"/>
      <c r="AI37" s="181"/>
      <c r="AJ37" s="155"/>
      <c r="AK37" s="293"/>
      <c r="AL37" s="389"/>
      <c r="AM37" s="390"/>
      <c r="AN37" s="132"/>
      <c r="AO37" s="133"/>
      <c r="AP37" s="132"/>
      <c r="AQ37" s="133"/>
      <c r="AR37" s="134"/>
      <c r="AS37" s="133"/>
      <c r="AT37" s="134"/>
      <c r="AU37" s="133"/>
      <c r="AV37" s="391"/>
      <c r="AW37" s="392"/>
      <c r="AX37" s="590"/>
      <c r="AY37" s="591"/>
      <c r="AZ37" s="391"/>
      <c r="BA37" s="393"/>
    </row>
    <row r="38" spans="1:53" s="574" customFormat="1" thickBot="1" x14ac:dyDescent="0.35">
      <c r="A38" s="610" t="s">
        <v>56</v>
      </c>
      <c r="B38" s="607">
        <f t="shared" ref="B38:AG38" si="10">B36</f>
        <v>13667082</v>
      </c>
      <c r="C38" s="617">
        <f t="shared" si="10"/>
        <v>50553103</v>
      </c>
      <c r="D38" s="608">
        <f t="shared" si="10"/>
        <v>1091173</v>
      </c>
      <c r="E38" s="609">
        <f t="shared" si="10"/>
        <v>3452646</v>
      </c>
      <c r="F38" s="593">
        <f t="shared" si="10"/>
        <v>4824899</v>
      </c>
      <c r="G38" s="594">
        <f t="shared" si="10"/>
        <v>16113893</v>
      </c>
      <c r="H38" s="578">
        <f t="shared" si="10"/>
        <v>23956984</v>
      </c>
      <c r="I38" s="577">
        <f t="shared" si="10"/>
        <v>80535460</v>
      </c>
      <c r="J38" s="600">
        <f t="shared" si="10"/>
        <v>1757600</v>
      </c>
      <c r="K38" s="594">
        <f t="shared" si="10"/>
        <v>5697948</v>
      </c>
      <c r="L38" s="578">
        <f t="shared" si="10"/>
        <v>4253668</v>
      </c>
      <c r="M38" s="577">
        <f t="shared" si="10"/>
        <v>17857419</v>
      </c>
      <c r="N38" s="578">
        <f t="shared" si="10"/>
        <v>848831</v>
      </c>
      <c r="O38" s="577">
        <f t="shared" si="10"/>
        <v>2553674</v>
      </c>
      <c r="P38" s="575">
        <f t="shared" si="10"/>
        <v>223329</v>
      </c>
      <c r="Q38" s="576">
        <f t="shared" si="10"/>
        <v>746504</v>
      </c>
      <c r="R38" s="575">
        <f t="shared" si="10"/>
        <v>11992890</v>
      </c>
      <c r="S38" s="576">
        <f t="shared" si="10"/>
        <v>12318295</v>
      </c>
      <c r="T38" s="575">
        <f t="shared" si="10"/>
        <v>1184623</v>
      </c>
      <c r="U38" s="576">
        <f t="shared" si="10"/>
        <v>4043642</v>
      </c>
      <c r="V38" s="578">
        <f t="shared" si="10"/>
        <v>43325769</v>
      </c>
      <c r="W38" s="577">
        <f t="shared" si="10"/>
        <v>128948777</v>
      </c>
      <c r="X38" s="575">
        <f>X36</f>
        <v>46060458</v>
      </c>
      <c r="Y38" s="576">
        <f t="shared" si="10"/>
        <v>174908162</v>
      </c>
      <c r="Z38" s="575">
        <f t="shared" si="10"/>
        <v>1471827</v>
      </c>
      <c r="AA38" s="576">
        <f t="shared" si="10"/>
        <v>4985287</v>
      </c>
      <c r="AB38" s="575">
        <f t="shared" si="10"/>
        <v>4797004</v>
      </c>
      <c r="AC38" s="576">
        <f t="shared" si="10"/>
        <v>10989752</v>
      </c>
      <c r="AD38" s="575">
        <f t="shared" si="10"/>
        <v>9444244</v>
      </c>
      <c r="AE38" s="576">
        <f t="shared" si="10"/>
        <v>27709336</v>
      </c>
      <c r="AF38" s="575">
        <f t="shared" si="10"/>
        <v>14283946</v>
      </c>
      <c r="AG38" s="576">
        <f t="shared" si="10"/>
        <v>49456149</v>
      </c>
      <c r="AH38" s="575">
        <f t="shared" ref="AH38:AU38" si="11">AH36</f>
        <v>6578671</v>
      </c>
      <c r="AI38" s="576">
        <f t="shared" si="11"/>
        <v>21084349</v>
      </c>
      <c r="AJ38" s="575">
        <f t="shared" si="11"/>
        <v>8807797</v>
      </c>
      <c r="AK38" s="580">
        <f t="shared" si="11"/>
        <v>29707943</v>
      </c>
      <c r="AL38" s="581">
        <f t="shared" si="11"/>
        <v>0</v>
      </c>
      <c r="AM38" s="580">
        <f t="shared" si="11"/>
        <v>0</v>
      </c>
      <c r="AN38" s="578">
        <f t="shared" si="11"/>
        <v>34881190</v>
      </c>
      <c r="AO38" s="577">
        <f t="shared" si="11"/>
        <v>116774881</v>
      </c>
      <c r="AP38" s="578">
        <f t="shared" si="11"/>
        <v>1600729</v>
      </c>
      <c r="AQ38" s="577">
        <f t="shared" si="11"/>
        <v>5688975</v>
      </c>
      <c r="AR38" s="579">
        <f t="shared" si="11"/>
        <v>2762463</v>
      </c>
      <c r="AS38" s="577">
        <f t="shared" si="11"/>
        <v>9586814</v>
      </c>
      <c r="AT38" s="579">
        <f t="shared" si="11"/>
        <v>5125221</v>
      </c>
      <c r="AU38" s="577">
        <f t="shared" si="11"/>
        <v>21570400</v>
      </c>
      <c r="AV38" s="555">
        <f>SUM(B38+D38+F38+H38+J38+L38+N38+P38+R38+T38+V38+X38+Z38+AB38+AD38+AF38+AH38+AJ38+AL38+AN38+AP38+AR38+AT38)</f>
        <v>242940398</v>
      </c>
      <c r="AW38" s="556">
        <f>SUM(C38+E38+G38+I38+K38+M38+O38+Q38+S38+U38+W38+Y38+AA38+AC38+AE38+AG38+AI38+AK38+AM38+AO38+AQ38+AS38+AU38)</f>
        <v>795283409</v>
      </c>
      <c r="AX38" s="592">
        <f>AX36</f>
        <v>756631221</v>
      </c>
      <c r="AY38" s="594">
        <f>AY36</f>
        <v>1965650396</v>
      </c>
      <c r="AZ38" s="555">
        <f>AV38+AX38</f>
        <v>999571619</v>
      </c>
      <c r="BA38" s="573">
        <f>AW38+AY38</f>
        <v>2760933805</v>
      </c>
    </row>
    <row r="39" spans="1:53" s="111" customFormat="1" ht="14.25" x14ac:dyDescent="0.3">
      <c r="A39" s="97"/>
      <c r="E39" s="182"/>
      <c r="V39" s="182"/>
      <c r="W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</row>
  </sheetData>
  <mergeCells count="29">
    <mergeCell ref="A1:AZ1"/>
    <mergeCell ref="A2:AZ2"/>
    <mergeCell ref="A3:A4"/>
    <mergeCell ref="AX3:AY3"/>
    <mergeCell ref="AZ3:BA3"/>
    <mergeCell ref="AV3:AW3"/>
    <mergeCell ref="B3:C3"/>
    <mergeCell ref="D3:E3"/>
    <mergeCell ref="F3:G3"/>
    <mergeCell ref="H3:I3"/>
    <mergeCell ref="J3:K3"/>
    <mergeCell ref="L3:M3"/>
    <mergeCell ref="N3:O3"/>
    <mergeCell ref="R3:S3"/>
    <mergeCell ref="T3:U3"/>
    <mergeCell ref="P3:Q3"/>
    <mergeCell ref="V3:W3"/>
    <mergeCell ref="X3:Y3"/>
    <mergeCell ref="Z3:AA3"/>
    <mergeCell ref="AB3:AC3"/>
    <mergeCell ref="AP3:AQ3"/>
    <mergeCell ref="AR3:AS3"/>
    <mergeCell ref="AT3:AU3"/>
    <mergeCell ref="AD3:AE3"/>
    <mergeCell ref="AF3:AG3"/>
    <mergeCell ref="AH3:AI3"/>
    <mergeCell ref="AJ3:AK3"/>
    <mergeCell ref="AL3:AM3"/>
    <mergeCell ref="AN3:AO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4"/>
  <sheetViews>
    <sheetView topLeftCell="A3" workbookViewId="0">
      <pane xSplit="1" topLeftCell="P1" activePane="topRight" state="frozen"/>
      <selection pane="topRight" activeCell="B5" sqref="B5:R13"/>
    </sheetView>
    <sheetView workbookViewId="1">
      <pane xSplit="1" topLeftCell="B1" activePane="topRight" state="frozen"/>
      <selection pane="topRight" activeCell="D9" sqref="D9"/>
    </sheetView>
  </sheetViews>
  <sheetFormatPr defaultRowHeight="16.5" x14ac:dyDescent="0.3"/>
  <cols>
    <col min="1" max="1" width="55.140625" style="107" customWidth="1"/>
    <col min="2" max="2" width="10.28515625" style="107" bestFit="1" customWidth="1"/>
    <col min="3" max="3" width="10.42578125" style="107" customWidth="1"/>
    <col min="4" max="4" width="11.42578125" style="107" customWidth="1"/>
    <col min="5" max="5" width="11.5703125" style="107" bestFit="1" customWidth="1"/>
    <col min="6" max="6" width="10.7109375" style="107" customWidth="1"/>
    <col min="7" max="8" width="10.28515625" style="107" bestFit="1" customWidth="1"/>
    <col min="9" max="9" width="11.5703125" style="107" bestFit="1" customWidth="1"/>
    <col min="10" max="10" width="10.140625" style="107" customWidth="1"/>
    <col min="11" max="11" width="10.5703125" style="107" customWidth="1"/>
    <col min="12" max="13" width="11.5703125" style="107" bestFit="1" customWidth="1"/>
    <col min="14" max="15" width="10.28515625" style="107" bestFit="1" customWidth="1"/>
    <col min="16" max="16" width="11.5703125" style="107" bestFit="1" customWidth="1"/>
    <col min="17" max="17" width="10.28515625" style="107" bestFit="1" customWidth="1"/>
    <col min="18" max="18" width="10.140625" style="107" customWidth="1"/>
    <col min="19" max="19" width="10.28515625" style="107" bestFit="1" customWidth="1"/>
    <col min="20" max="20" width="10.28515625" style="107" customWidth="1"/>
    <col min="21" max="21" width="11.5703125" style="107" bestFit="1" customWidth="1"/>
    <col min="22" max="22" width="10.140625" style="107" customWidth="1"/>
    <col min="23" max="23" width="10.28515625" style="107" bestFit="1" customWidth="1"/>
    <col min="24" max="24" width="10.140625" style="107" customWidth="1"/>
    <col min="25" max="25" width="13.7109375" style="107" customWidth="1"/>
    <col min="26" max="26" width="12" style="107" customWidth="1"/>
    <col min="27" max="27" width="13.5703125" style="67" customWidth="1"/>
    <col min="28" max="16384" width="9.140625" style="107"/>
  </cols>
  <sheetData>
    <row r="1" spans="1:27" s="454" customFormat="1" ht="17.25" thickBot="1" x14ac:dyDescent="0.4">
      <c r="A1" s="989" t="s">
        <v>244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89"/>
      <c r="R1" s="989"/>
      <c r="S1" s="989"/>
      <c r="T1" s="989"/>
      <c r="U1" s="989"/>
      <c r="V1" s="989"/>
      <c r="W1" s="989"/>
      <c r="X1" s="989"/>
      <c r="Y1" s="989"/>
      <c r="Z1" s="989"/>
      <c r="AA1" s="989"/>
    </row>
    <row r="2" spans="1:27" ht="129" thickBot="1" x14ac:dyDescent="0.35">
      <c r="A2" s="988" t="s">
        <v>0</v>
      </c>
      <c r="B2" s="621" t="s">
        <v>155</v>
      </c>
      <c r="C2" s="512" t="s">
        <v>156</v>
      </c>
      <c r="D2" s="512" t="s">
        <v>157</v>
      </c>
      <c r="E2" s="512" t="s">
        <v>158</v>
      </c>
      <c r="F2" s="512" t="s">
        <v>159</v>
      </c>
      <c r="G2" s="512" t="s">
        <v>160</v>
      </c>
      <c r="H2" s="512" t="s">
        <v>161</v>
      </c>
      <c r="I2" s="512" t="s">
        <v>162</v>
      </c>
      <c r="J2" s="512" t="s">
        <v>163</v>
      </c>
      <c r="K2" s="512" t="s">
        <v>164</v>
      </c>
      <c r="L2" s="512" t="s">
        <v>165</v>
      </c>
      <c r="M2" s="512" t="s">
        <v>166</v>
      </c>
      <c r="N2" s="512" t="s">
        <v>167</v>
      </c>
      <c r="O2" s="512" t="s">
        <v>168</v>
      </c>
      <c r="P2" s="512" t="s">
        <v>169</v>
      </c>
      <c r="Q2" s="512" t="s">
        <v>170</v>
      </c>
      <c r="R2" s="512" t="s">
        <v>171</v>
      </c>
      <c r="S2" s="512" t="s">
        <v>172</v>
      </c>
      <c r="T2" s="512" t="s">
        <v>173</v>
      </c>
      <c r="U2" s="512" t="s">
        <v>174</v>
      </c>
      <c r="V2" s="512" t="s">
        <v>175</v>
      </c>
      <c r="W2" s="512" t="s">
        <v>176</v>
      </c>
      <c r="X2" s="512" t="s">
        <v>177</v>
      </c>
      <c r="Y2" s="619" t="s">
        <v>1</v>
      </c>
      <c r="Z2" s="512" t="s">
        <v>178</v>
      </c>
      <c r="AA2" s="814" t="s">
        <v>2</v>
      </c>
    </row>
    <row r="3" spans="1:27" s="514" customFormat="1" ht="32.25" customHeight="1" thickBot="1" x14ac:dyDescent="0.35">
      <c r="A3" s="988"/>
      <c r="B3" s="618" t="s">
        <v>325</v>
      </c>
      <c r="C3" s="618" t="s">
        <v>325</v>
      </c>
      <c r="D3" s="618" t="s">
        <v>325</v>
      </c>
      <c r="E3" s="618" t="s">
        <v>325</v>
      </c>
      <c r="F3" s="618" t="s">
        <v>325</v>
      </c>
      <c r="G3" s="618" t="s">
        <v>325</v>
      </c>
      <c r="H3" s="618" t="s">
        <v>325</v>
      </c>
      <c r="I3" s="618" t="s">
        <v>325</v>
      </c>
      <c r="J3" s="618" t="s">
        <v>325</v>
      </c>
      <c r="K3" s="618" t="s">
        <v>325</v>
      </c>
      <c r="L3" s="618" t="s">
        <v>325</v>
      </c>
      <c r="M3" s="618" t="s">
        <v>325</v>
      </c>
      <c r="N3" s="618" t="s">
        <v>325</v>
      </c>
      <c r="O3" s="618" t="s">
        <v>325</v>
      </c>
      <c r="P3" s="618" t="s">
        <v>325</v>
      </c>
      <c r="Q3" s="618" t="s">
        <v>325</v>
      </c>
      <c r="R3" s="618" t="s">
        <v>325</v>
      </c>
      <c r="S3" s="618" t="s">
        <v>325</v>
      </c>
      <c r="T3" s="618" t="s">
        <v>325</v>
      </c>
      <c r="U3" s="618" t="s">
        <v>325</v>
      </c>
      <c r="V3" s="618" t="s">
        <v>325</v>
      </c>
      <c r="W3" s="618" t="s">
        <v>325</v>
      </c>
      <c r="X3" s="618" t="s">
        <v>325</v>
      </c>
      <c r="Y3" s="618" t="s">
        <v>325</v>
      </c>
      <c r="Z3" s="618" t="s">
        <v>325</v>
      </c>
      <c r="AA3" s="618" t="s">
        <v>325</v>
      </c>
    </row>
    <row r="4" spans="1:27" x14ac:dyDescent="0.3">
      <c r="A4" s="453" t="s">
        <v>234</v>
      </c>
      <c r="B4" s="816"/>
      <c r="C4" s="816"/>
      <c r="D4" s="816"/>
      <c r="E4" s="816"/>
      <c r="F4" s="816"/>
      <c r="G4" s="816"/>
      <c r="H4" s="816"/>
      <c r="I4" s="816"/>
      <c r="J4" s="816"/>
      <c r="K4" s="817"/>
      <c r="L4" s="815"/>
      <c r="M4" s="816"/>
      <c r="N4" s="816"/>
      <c r="O4" s="816"/>
      <c r="P4" s="816"/>
      <c r="Q4" s="816"/>
      <c r="R4" s="816" t="s">
        <v>252</v>
      </c>
      <c r="S4" s="816"/>
      <c r="T4" s="816"/>
      <c r="U4" s="816"/>
      <c r="V4" s="816"/>
      <c r="W4" s="816"/>
      <c r="X4" s="816"/>
      <c r="Y4" s="815"/>
      <c r="Z4" s="816"/>
      <c r="AA4" s="815"/>
    </row>
    <row r="5" spans="1:27" x14ac:dyDescent="0.3">
      <c r="A5" s="451" t="s">
        <v>235</v>
      </c>
      <c r="B5" s="812">
        <v>682920</v>
      </c>
      <c r="C5" s="812"/>
      <c r="D5" s="812"/>
      <c r="E5" s="812"/>
      <c r="F5" s="812"/>
      <c r="G5" s="812"/>
      <c r="H5" s="812"/>
      <c r="I5" s="812"/>
      <c r="J5" s="812"/>
      <c r="K5" s="818"/>
      <c r="L5" s="813"/>
      <c r="M5" s="812"/>
      <c r="N5" s="812"/>
      <c r="O5" s="812"/>
      <c r="P5" s="812"/>
      <c r="Q5" s="812">
        <v>258784</v>
      </c>
      <c r="R5" s="812"/>
      <c r="S5" s="812"/>
      <c r="T5" s="812"/>
      <c r="U5" s="812"/>
      <c r="V5" s="812"/>
      <c r="W5" s="812"/>
      <c r="X5" s="812"/>
      <c r="Y5" s="813">
        <f>SUM(B5:X5)</f>
        <v>941704</v>
      </c>
      <c r="Z5" s="812"/>
      <c r="AA5" s="813">
        <f>Y5+Z5</f>
        <v>941704</v>
      </c>
    </row>
    <row r="6" spans="1:27" x14ac:dyDescent="0.3">
      <c r="A6" s="451" t="s">
        <v>236</v>
      </c>
      <c r="B6" s="812">
        <v>2000028</v>
      </c>
      <c r="C6" s="819"/>
      <c r="D6" s="812"/>
      <c r="E6" s="812">
        <v>10599550</v>
      </c>
      <c r="F6" s="812">
        <v>2074442</v>
      </c>
      <c r="G6" s="812">
        <v>1250000</v>
      </c>
      <c r="H6" s="812">
        <v>8329217</v>
      </c>
      <c r="I6" s="812">
        <v>16848478</v>
      </c>
      <c r="J6" s="812"/>
      <c r="K6" s="818"/>
      <c r="L6" s="813">
        <v>3127498</v>
      </c>
      <c r="M6" s="812">
        <v>34233308</v>
      </c>
      <c r="N6" s="812"/>
      <c r="O6" s="812">
        <v>1300000</v>
      </c>
      <c r="P6" s="812">
        <v>520363</v>
      </c>
      <c r="Q6" s="812">
        <v>680913</v>
      </c>
      <c r="R6" s="812"/>
      <c r="S6" s="812">
        <v>3031592</v>
      </c>
      <c r="T6" s="812"/>
      <c r="U6" s="812"/>
      <c r="V6" s="812">
        <v>1322</v>
      </c>
      <c r="W6" s="812">
        <v>2686056</v>
      </c>
      <c r="X6" s="812">
        <v>259637</v>
      </c>
      <c r="Y6" s="813">
        <f t="shared" ref="Y6:Y14" si="0">SUM(B6:X6)</f>
        <v>86942404</v>
      </c>
      <c r="Z6" s="812"/>
      <c r="AA6" s="813">
        <f t="shared" ref="AA6:AA14" si="1">Y6+Z6</f>
        <v>86942404</v>
      </c>
    </row>
    <row r="7" spans="1:27" x14ac:dyDescent="0.3">
      <c r="A7" s="451" t="s">
        <v>237</v>
      </c>
      <c r="B7" s="812"/>
      <c r="C7" s="819">
        <v>4837305</v>
      </c>
      <c r="D7" s="812"/>
      <c r="E7" s="812">
        <v>319948</v>
      </c>
      <c r="F7" s="812"/>
      <c r="G7" s="812"/>
      <c r="H7" s="812"/>
      <c r="I7" s="812"/>
      <c r="J7" s="812"/>
      <c r="K7" s="818"/>
      <c r="L7" s="813"/>
      <c r="M7" s="812">
        <v>214989</v>
      </c>
      <c r="N7" s="812"/>
      <c r="O7" s="812"/>
      <c r="P7" s="812"/>
      <c r="Q7" s="812"/>
      <c r="R7" s="812"/>
      <c r="S7" s="812"/>
      <c r="T7" s="812"/>
      <c r="U7" s="812"/>
      <c r="V7" s="812"/>
      <c r="W7" s="812"/>
      <c r="X7" s="812"/>
      <c r="Y7" s="813">
        <f t="shared" si="0"/>
        <v>5372242</v>
      </c>
      <c r="Z7" s="812"/>
      <c r="AA7" s="813">
        <f t="shared" si="1"/>
        <v>5372242</v>
      </c>
    </row>
    <row r="8" spans="1:27" x14ac:dyDescent="0.3">
      <c r="A8" s="451" t="s">
        <v>238</v>
      </c>
      <c r="B8" s="812"/>
      <c r="C8" s="819"/>
      <c r="D8" s="812"/>
      <c r="E8" s="812"/>
      <c r="F8" s="812"/>
      <c r="G8" s="812"/>
      <c r="H8" s="812"/>
      <c r="I8" s="812"/>
      <c r="J8" s="812"/>
      <c r="K8" s="818"/>
      <c r="L8" s="813"/>
      <c r="M8" s="812"/>
      <c r="N8" s="812"/>
      <c r="O8" s="812"/>
      <c r="P8" s="812"/>
      <c r="Q8" s="812"/>
      <c r="R8" s="812"/>
      <c r="S8" s="812"/>
      <c r="T8" s="812"/>
      <c r="U8" s="812"/>
      <c r="V8" s="812"/>
      <c r="W8" s="812"/>
      <c r="X8" s="812"/>
      <c r="Y8" s="813">
        <f t="shared" si="0"/>
        <v>0</v>
      </c>
      <c r="Z8" s="812">
        <v>5275316</v>
      </c>
      <c r="AA8" s="813">
        <f t="shared" si="1"/>
        <v>5275316</v>
      </c>
    </row>
    <row r="9" spans="1:27" x14ac:dyDescent="0.3">
      <c r="A9" s="451" t="s">
        <v>239</v>
      </c>
      <c r="B9" s="812"/>
      <c r="C9" s="819"/>
      <c r="D9" s="812"/>
      <c r="E9" s="812"/>
      <c r="F9" s="812"/>
      <c r="G9" s="812"/>
      <c r="H9" s="812"/>
      <c r="I9" s="812"/>
      <c r="J9" s="812"/>
      <c r="K9" s="818"/>
      <c r="L9" s="813"/>
      <c r="M9" s="812"/>
      <c r="N9" s="812"/>
      <c r="O9" s="812"/>
      <c r="P9" s="812"/>
      <c r="Q9" s="812"/>
      <c r="R9" s="812"/>
      <c r="S9" s="812"/>
      <c r="T9" s="812"/>
      <c r="U9" s="812"/>
      <c r="V9" s="812"/>
      <c r="W9" s="812"/>
      <c r="X9" s="812"/>
      <c r="Y9" s="813">
        <f t="shared" si="0"/>
        <v>0</v>
      </c>
      <c r="Z9" s="812"/>
      <c r="AA9" s="813">
        <f t="shared" si="1"/>
        <v>0</v>
      </c>
    </row>
    <row r="10" spans="1:27" x14ac:dyDescent="0.3">
      <c r="A10" s="451" t="s">
        <v>240</v>
      </c>
      <c r="B10" s="812"/>
      <c r="C10" s="819"/>
      <c r="D10" s="812"/>
      <c r="E10" s="812"/>
      <c r="F10" s="812"/>
      <c r="G10" s="812"/>
      <c r="H10" s="812"/>
      <c r="I10" s="812"/>
      <c r="J10" s="812"/>
      <c r="K10" s="818"/>
      <c r="L10" s="813"/>
      <c r="M10" s="812"/>
      <c r="N10" s="812"/>
      <c r="O10" s="812"/>
      <c r="P10" s="812"/>
      <c r="Q10" s="812"/>
      <c r="R10" s="812"/>
      <c r="S10" s="812"/>
      <c r="T10" s="812"/>
      <c r="U10" s="812"/>
      <c r="V10" s="812"/>
      <c r="W10" s="812"/>
      <c r="X10" s="812"/>
      <c r="Y10" s="813">
        <f t="shared" si="0"/>
        <v>0</v>
      </c>
      <c r="Z10" s="812"/>
      <c r="AA10" s="813">
        <f t="shared" si="1"/>
        <v>0</v>
      </c>
    </row>
    <row r="11" spans="1:27" x14ac:dyDescent="0.3">
      <c r="A11" s="451" t="s">
        <v>241</v>
      </c>
      <c r="B11" s="812"/>
      <c r="C11" s="819"/>
      <c r="D11" s="812"/>
      <c r="E11" s="812"/>
      <c r="F11" s="812"/>
      <c r="G11" s="812"/>
      <c r="H11" s="812"/>
      <c r="I11" s="812"/>
      <c r="J11" s="812"/>
      <c r="K11" s="818"/>
      <c r="L11" s="813"/>
      <c r="M11" s="812"/>
      <c r="N11" s="812"/>
      <c r="O11" s="812"/>
      <c r="P11" s="812"/>
      <c r="Q11" s="812"/>
      <c r="R11" s="812"/>
      <c r="S11" s="812"/>
      <c r="T11" s="812"/>
      <c r="U11" s="812"/>
      <c r="V11" s="812"/>
      <c r="W11" s="812"/>
      <c r="X11" s="812"/>
      <c r="Y11" s="813">
        <f t="shared" si="0"/>
        <v>0</v>
      </c>
      <c r="Z11" s="812"/>
      <c r="AA11" s="813">
        <f t="shared" si="1"/>
        <v>0</v>
      </c>
    </row>
    <row r="12" spans="1:27" x14ac:dyDescent="0.3">
      <c r="A12" s="451" t="s">
        <v>242</v>
      </c>
      <c r="B12" s="812"/>
      <c r="C12" s="819"/>
      <c r="D12" s="812"/>
      <c r="E12" s="812"/>
      <c r="F12" s="812"/>
      <c r="G12" s="812"/>
      <c r="H12" s="812"/>
      <c r="I12" s="812"/>
      <c r="J12" s="812"/>
      <c r="K12" s="818"/>
      <c r="L12" s="813"/>
      <c r="M12" s="812"/>
      <c r="N12" s="812"/>
      <c r="O12" s="812">
        <v>50000</v>
      </c>
      <c r="P12" s="812"/>
      <c r="Q12" s="812"/>
      <c r="R12" s="812">
        <v>3626876</v>
      </c>
      <c r="S12" s="812"/>
      <c r="T12" s="812"/>
      <c r="U12" s="812"/>
      <c r="V12" s="812"/>
      <c r="W12" s="812"/>
      <c r="X12" s="812"/>
      <c r="Y12" s="813">
        <f t="shared" si="0"/>
        <v>3676876</v>
      </c>
      <c r="Z12" s="812">
        <v>-7541</v>
      </c>
      <c r="AA12" s="813">
        <f t="shared" si="1"/>
        <v>3669335</v>
      </c>
    </row>
    <row r="13" spans="1:27" x14ac:dyDescent="0.3">
      <c r="A13" s="451" t="s">
        <v>243</v>
      </c>
      <c r="B13" s="812"/>
      <c r="C13" s="819"/>
      <c r="D13" s="812"/>
      <c r="E13" s="812">
        <v>79646820</v>
      </c>
      <c r="F13" s="812"/>
      <c r="G13" s="812"/>
      <c r="H13" s="812"/>
      <c r="I13" s="812"/>
      <c r="J13" s="812"/>
      <c r="K13" s="818"/>
      <c r="L13" s="813">
        <v>23936526</v>
      </c>
      <c r="M13" s="812">
        <v>16960346</v>
      </c>
      <c r="N13" s="812"/>
      <c r="O13" s="812"/>
      <c r="P13" s="812">
        <v>16758003</v>
      </c>
      <c r="Q13" s="812">
        <v>6762696</v>
      </c>
      <c r="R13" s="812">
        <v>-13003351</v>
      </c>
      <c r="S13" s="812"/>
      <c r="T13" s="812"/>
      <c r="U13" s="812">
        <v>53744580</v>
      </c>
      <c r="V13" s="812">
        <v>4057512</v>
      </c>
      <c r="W13" s="812"/>
      <c r="X13" s="812">
        <v>573340</v>
      </c>
      <c r="Y13" s="813">
        <f t="shared" si="0"/>
        <v>189436472</v>
      </c>
      <c r="Z13" s="812"/>
      <c r="AA13" s="813">
        <f t="shared" si="1"/>
        <v>189436472</v>
      </c>
    </row>
    <row r="14" spans="1:27" s="921" customFormat="1" ht="18.75" thickBot="1" x14ac:dyDescent="0.4">
      <c r="A14" s="914" t="s">
        <v>56</v>
      </c>
      <c r="B14" s="917">
        <f t="shared" ref="B14:Z14" si="2">SUM(B4:B13)</f>
        <v>2682948</v>
      </c>
      <c r="C14" s="918">
        <f t="shared" si="2"/>
        <v>4837305</v>
      </c>
      <c r="D14" s="918">
        <f t="shared" si="2"/>
        <v>0</v>
      </c>
      <c r="E14" s="918">
        <f t="shared" si="2"/>
        <v>90566318</v>
      </c>
      <c r="F14" s="918">
        <f t="shared" si="2"/>
        <v>2074442</v>
      </c>
      <c r="G14" s="918">
        <f t="shared" si="2"/>
        <v>1250000</v>
      </c>
      <c r="H14" s="918">
        <f t="shared" si="2"/>
        <v>8329217</v>
      </c>
      <c r="I14" s="918">
        <f t="shared" si="2"/>
        <v>16848478</v>
      </c>
      <c r="J14" s="918">
        <f t="shared" si="2"/>
        <v>0</v>
      </c>
      <c r="K14" s="919">
        <f t="shared" si="2"/>
        <v>0</v>
      </c>
      <c r="L14" s="914">
        <f t="shared" si="2"/>
        <v>27064024</v>
      </c>
      <c r="M14" s="917">
        <f t="shared" si="2"/>
        <v>51408643</v>
      </c>
      <c r="N14" s="918">
        <f t="shared" si="2"/>
        <v>0</v>
      </c>
      <c r="O14" s="918">
        <f t="shared" si="2"/>
        <v>1350000</v>
      </c>
      <c r="P14" s="918">
        <f t="shared" si="2"/>
        <v>17278366</v>
      </c>
      <c r="Q14" s="918">
        <f t="shared" si="2"/>
        <v>7702393</v>
      </c>
      <c r="R14" s="918">
        <f t="shared" si="2"/>
        <v>-9376475</v>
      </c>
      <c r="S14" s="918">
        <f t="shared" si="2"/>
        <v>3031592</v>
      </c>
      <c r="T14" s="918">
        <f t="shared" si="2"/>
        <v>0</v>
      </c>
      <c r="U14" s="918">
        <f t="shared" si="2"/>
        <v>53744580</v>
      </c>
      <c r="V14" s="918">
        <f t="shared" si="2"/>
        <v>4058834</v>
      </c>
      <c r="W14" s="918">
        <f t="shared" si="2"/>
        <v>2686056</v>
      </c>
      <c r="X14" s="918">
        <f t="shared" si="2"/>
        <v>832977</v>
      </c>
      <c r="Y14" s="920">
        <f t="shared" si="0"/>
        <v>286369698</v>
      </c>
      <c r="Z14" s="918">
        <f t="shared" si="2"/>
        <v>5267775</v>
      </c>
      <c r="AA14" s="920">
        <f t="shared" si="1"/>
        <v>291637473</v>
      </c>
    </row>
  </sheetData>
  <mergeCells count="2">
    <mergeCell ref="A2:A3"/>
    <mergeCell ref="A1:AA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4"/>
  <sheetViews>
    <sheetView workbookViewId="0">
      <pane xSplit="1" topLeftCell="B1" activePane="topRight" state="frozen"/>
      <selection pane="topRight" activeCell="J18" sqref="J18"/>
    </sheetView>
    <sheetView workbookViewId="1">
      <selection sqref="A1:AZ1"/>
    </sheetView>
  </sheetViews>
  <sheetFormatPr defaultRowHeight="13.5" x14ac:dyDescent="0.25"/>
  <cols>
    <col min="1" max="1" width="23.7109375" style="96" bestFit="1" customWidth="1"/>
    <col min="2" max="2" width="11.42578125" style="96" bestFit="1" customWidth="1"/>
    <col min="3" max="3" width="12.42578125" style="96" bestFit="1" customWidth="1"/>
    <col min="4" max="4" width="11.42578125" style="96" bestFit="1" customWidth="1"/>
    <col min="5" max="5" width="12.42578125" style="96" bestFit="1" customWidth="1"/>
    <col min="6" max="6" width="11.42578125" style="96" bestFit="1" customWidth="1"/>
    <col min="7" max="7" width="12.42578125" style="96" bestFit="1" customWidth="1"/>
    <col min="8" max="8" width="11.42578125" style="96" bestFit="1" customWidth="1"/>
    <col min="9" max="9" width="12.42578125" style="96" bestFit="1" customWidth="1"/>
    <col min="10" max="10" width="11.42578125" style="96" bestFit="1" customWidth="1"/>
    <col min="11" max="11" width="12.42578125" style="96" bestFit="1" customWidth="1"/>
    <col min="12" max="12" width="11.42578125" style="96" bestFit="1" customWidth="1"/>
    <col min="13" max="13" width="12.42578125" style="96" bestFit="1" customWidth="1"/>
    <col min="14" max="14" width="11.42578125" style="96" bestFit="1" customWidth="1"/>
    <col min="15" max="15" width="12.42578125" style="96" bestFit="1" customWidth="1"/>
    <col min="16" max="16" width="11.42578125" style="96" bestFit="1" customWidth="1"/>
    <col min="17" max="17" width="12.42578125" style="96" bestFit="1" customWidth="1"/>
    <col min="18" max="18" width="11.42578125" style="96" bestFit="1" customWidth="1"/>
    <col min="19" max="19" width="12.42578125" style="96" bestFit="1" customWidth="1"/>
    <col min="20" max="20" width="11.42578125" style="96" bestFit="1" customWidth="1"/>
    <col min="21" max="21" width="12.42578125" style="96" bestFit="1" customWidth="1"/>
    <col min="22" max="22" width="11.42578125" style="96" bestFit="1" customWidth="1"/>
    <col min="23" max="23" width="12.42578125" style="96" bestFit="1" customWidth="1"/>
    <col min="24" max="24" width="11.42578125" style="96" bestFit="1" customWidth="1"/>
    <col min="25" max="25" width="12.42578125" style="96" bestFit="1" customWidth="1"/>
    <col min="26" max="26" width="11.42578125" style="96" bestFit="1" customWidth="1"/>
    <col min="27" max="27" width="12.42578125" style="96" bestFit="1" customWidth="1"/>
    <col min="28" max="28" width="11.42578125" style="96" bestFit="1" customWidth="1"/>
    <col min="29" max="29" width="12.42578125" style="96" bestFit="1" customWidth="1"/>
    <col min="30" max="30" width="11.42578125" style="96" bestFit="1" customWidth="1"/>
    <col min="31" max="31" width="12.42578125" style="96" bestFit="1" customWidth="1"/>
    <col min="32" max="32" width="11.42578125" style="96" bestFit="1" customWidth="1"/>
    <col min="33" max="33" width="12.42578125" style="96" bestFit="1" customWidth="1"/>
    <col min="34" max="34" width="11.42578125" style="96" bestFit="1" customWidth="1"/>
    <col min="35" max="35" width="12.42578125" style="96" bestFit="1" customWidth="1"/>
    <col min="36" max="36" width="11.42578125" style="96" bestFit="1" customWidth="1"/>
    <col min="37" max="37" width="12.42578125" style="96" bestFit="1" customWidth="1"/>
    <col min="38" max="38" width="11.42578125" style="96" bestFit="1" customWidth="1"/>
    <col min="39" max="39" width="12.42578125" style="96" bestFit="1" customWidth="1"/>
    <col min="40" max="40" width="11.42578125" style="96" bestFit="1" customWidth="1"/>
    <col min="41" max="41" width="12.42578125" style="96" bestFit="1" customWidth="1"/>
    <col min="42" max="42" width="11.42578125" style="96" bestFit="1" customWidth="1"/>
    <col min="43" max="43" width="12.42578125" style="96" bestFit="1" customWidth="1"/>
    <col min="44" max="44" width="11.42578125" style="96" bestFit="1" customWidth="1"/>
    <col min="45" max="45" width="12.42578125" style="96" bestFit="1" customWidth="1"/>
    <col min="46" max="46" width="11.42578125" style="96" bestFit="1" customWidth="1"/>
    <col min="47" max="47" width="12.42578125" style="96" bestFit="1" customWidth="1"/>
    <col min="48" max="48" width="11.42578125" style="96" bestFit="1" customWidth="1"/>
    <col min="49" max="49" width="12.42578125" style="96" bestFit="1" customWidth="1"/>
    <col min="50" max="50" width="11.42578125" style="96" bestFit="1" customWidth="1"/>
    <col min="51" max="51" width="12.42578125" style="96" bestFit="1" customWidth="1"/>
    <col min="52" max="52" width="11.42578125" style="96" bestFit="1" customWidth="1"/>
    <col min="53" max="53" width="12.42578125" style="96" bestFit="1" customWidth="1"/>
    <col min="54" max="16384" width="9.140625" style="96"/>
  </cols>
  <sheetData>
    <row r="1" spans="1:53" x14ac:dyDescent="0.25">
      <c r="A1" s="997" t="s">
        <v>256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97"/>
      <c r="M1" s="997"/>
      <c r="N1" s="997"/>
      <c r="O1" s="997"/>
      <c r="P1" s="997"/>
      <c r="Q1" s="997"/>
      <c r="R1" s="997"/>
      <c r="S1" s="997"/>
      <c r="T1" s="997"/>
      <c r="U1" s="997"/>
      <c r="V1" s="997"/>
      <c r="W1" s="997"/>
      <c r="X1" s="997"/>
      <c r="Y1" s="997"/>
      <c r="Z1" s="997"/>
      <c r="AA1" s="997"/>
      <c r="AB1" s="997"/>
      <c r="AC1" s="997"/>
      <c r="AD1" s="997"/>
      <c r="AE1" s="997"/>
      <c r="AF1" s="997"/>
      <c r="AG1" s="997"/>
      <c r="AH1" s="997"/>
      <c r="AI1" s="997"/>
      <c r="AJ1" s="997"/>
      <c r="AK1" s="997"/>
      <c r="AL1" s="997"/>
      <c r="AM1" s="997"/>
      <c r="AN1" s="997"/>
      <c r="AO1" s="997"/>
      <c r="AP1" s="997"/>
      <c r="AQ1" s="997"/>
      <c r="AR1" s="997"/>
      <c r="AS1" s="997"/>
      <c r="AT1" s="997"/>
      <c r="AU1" s="997"/>
      <c r="AV1" s="997"/>
      <c r="AW1" s="997"/>
      <c r="AX1" s="997"/>
      <c r="AY1" s="997"/>
      <c r="AZ1" s="997"/>
    </row>
    <row r="2" spans="1:53" ht="16.5" thickBot="1" x14ac:dyDescent="0.4">
      <c r="A2" s="944" t="s">
        <v>153</v>
      </c>
      <c r="B2" s="944"/>
      <c r="C2" s="944"/>
      <c r="D2" s="944"/>
      <c r="E2" s="944"/>
      <c r="F2" s="944"/>
      <c r="G2" s="944"/>
      <c r="H2" s="944"/>
      <c r="I2" s="944"/>
      <c r="J2" s="944"/>
      <c r="K2" s="944"/>
      <c r="L2" s="944"/>
      <c r="M2" s="944"/>
      <c r="N2" s="944"/>
      <c r="O2" s="944"/>
      <c r="P2" s="944"/>
      <c r="Q2" s="944"/>
      <c r="R2" s="944"/>
      <c r="S2" s="944"/>
      <c r="T2" s="944"/>
      <c r="U2" s="944"/>
      <c r="V2" s="944"/>
      <c r="W2" s="944"/>
      <c r="X2" s="944"/>
      <c r="Y2" s="944"/>
      <c r="Z2" s="944"/>
      <c r="AA2" s="944"/>
      <c r="AB2" s="944"/>
      <c r="AC2" s="944"/>
      <c r="AD2" s="944"/>
      <c r="AE2" s="944"/>
      <c r="AF2" s="944"/>
      <c r="AG2" s="944"/>
      <c r="AH2" s="944"/>
      <c r="AI2" s="944"/>
      <c r="AJ2" s="944"/>
      <c r="AK2" s="944"/>
      <c r="AL2" s="944"/>
      <c r="AM2" s="944"/>
      <c r="AN2" s="944"/>
      <c r="AO2" s="944"/>
      <c r="AP2" s="944"/>
      <c r="AQ2" s="944"/>
      <c r="AR2" s="944"/>
      <c r="AS2" s="944"/>
      <c r="AT2" s="944"/>
      <c r="AU2" s="944"/>
      <c r="AV2" s="944"/>
      <c r="AW2" s="944"/>
      <c r="AX2" s="944"/>
      <c r="AY2" s="944"/>
      <c r="AZ2" s="944"/>
    </row>
    <row r="3" spans="1:53" s="584" customFormat="1" ht="39" customHeight="1" thickBot="1" x14ac:dyDescent="0.3">
      <c r="A3" s="998" t="s">
        <v>0</v>
      </c>
      <c r="B3" s="1000" t="s">
        <v>155</v>
      </c>
      <c r="C3" s="1001"/>
      <c r="D3" s="990" t="s">
        <v>156</v>
      </c>
      <c r="E3" s="994"/>
      <c r="F3" s="990" t="s">
        <v>157</v>
      </c>
      <c r="G3" s="991"/>
      <c r="H3" s="1002" t="s">
        <v>158</v>
      </c>
      <c r="I3" s="1003"/>
      <c r="J3" s="990" t="s">
        <v>159</v>
      </c>
      <c r="K3" s="991"/>
      <c r="L3" s="994" t="s">
        <v>160</v>
      </c>
      <c r="M3" s="991"/>
      <c r="N3" s="990" t="s">
        <v>161</v>
      </c>
      <c r="O3" s="991"/>
      <c r="P3" s="990" t="s">
        <v>162</v>
      </c>
      <c r="Q3" s="991"/>
      <c r="R3" s="990" t="s">
        <v>163</v>
      </c>
      <c r="S3" s="991"/>
      <c r="T3" s="990" t="s">
        <v>164</v>
      </c>
      <c r="U3" s="991"/>
      <c r="V3" s="990" t="s">
        <v>165</v>
      </c>
      <c r="W3" s="991"/>
      <c r="X3" s="990" t="s">
        <v>166</v>
      </c>
      <c r="Y3" s="991"/>
      <c r="Z3" s="990" t="s">
        <v>167</v>
      </c>
      <c r="AA3" s="991"/>
      <c r="AB3" s="990" t="s">
        <v>168</v>
      </c>
      <c r="AC3" s="991"/>
      <c r="AD3" s="992" t="s">
        <v>169</v>
      </c>
      <c r="AE3" s="993"/>
      <c r="AF3" s="990" t="s">
        <v>170</v>
      </c>
      <c r="AG3" s="991"/>
      <c r="AH3" s="990" t="s">
        <v>171</v>
      </c>
      <c r="AI3" s="991"/>
      <c r="AJ3" s="990" t="s">
        <v>172</v>
      </c>
      <c r="AK3" s="991"/>
      <c r="AL3" s="992" t="s">
        <v>173</v>
      </c>
      <c r="AM3" s="993"/>
      <c r="AN3" s="990" t="s">
        <v>174</v>
      </c>
      <c r="AO3" s="991"/>
      <c r="AP3" s="990" t="s">
        <v>175</v>
      </c>
      <c r="AQ3" s="991"/>
      <c r="AR3" s="990" t="s">
        <v>176</v>
      </c>
      <c r="AS3" s="991"/>
      <c r="AT3" s="990" t="s">
        <v>177</v>
      </c>
      <c r="AU3" s="991"/>
      <c r="AV3" s="990" t="s">
        <v>1</v>
      </c>
      <c r="AW3" s="991"/>
      <c r="AX3" s="992" t="s">
        <v>178</v>
      </c>
      <c r="AY3" s="993"/>
      <c r="AZ3" s="995" t="s">
        <v>2</v>
      </c>
      <c r="BA3" s="996"/>
    </row>
    <row r="4" spans="1:53" s="416" customFormat="1" ht="15" thickBot="1" x14ac:dyDescent="0.35">
      <c r="A4" s="999"/>
      <c r="B4" s="412" t="s">
        <v>180</v>
      </c>
      <c r="C4" s="413" t="s">
        <v>181</v>
      </c>
      <c r="D4" s="412" t="s">
        <v>180</v>
      </c>
      <c r="E4" s="413" t="s">
        <v>181</v>
      </c>
      <c r="F4" s="412" t="s">
        <v>180</v>
      </c>
      <c r="G4" s="413" t="s">
        <v>181</v>
      </c>
      <c r="H4" s="412" t="s">
        <v>180</v>
      </c>
      <c r="I4" s="413" t="s">
        <v>181</v>
      </c>
      <c r="J4" s="411" t="s">
        <v>180</v>
      </c>
      <c r="K4" s="413" t="s">
        <v>181</v>
      </c>
      <c r="L4" s="415" t="s">
        <v>180</v>
      </c>
      <c r="M4" s="413" t="s">
        <v>181</v>
      </c>
      <c r="N4" s="412" t="s">
        <v>180</v>
      </c>
      <c r="O4" s="414" t="s">
        <v>181</v>
      </c>
      <c r="P4" s="412" t="s">
        <v>180</v>
      </c>
      <c r="Q4" s="413" t="s">
        <v>181</v>
      </c>
      <c r="R4" s="412" t="s">
        <v>180</v>
      </c>
      <c r="S4" s="413" t="s">
        <v>181</v>
      </c>
      <c r="T4" s="412" t="s">
        <v>180</v>
      </c>
      <c r="U4" s="414" t="s">
        <v>181</v>
      </c>
      <c r="V4" s="412" t="s">
        <v>180</v>
      </c>
      <c r="W4" s="413" t="s">
        <v>181</v>
      </c>
      <c r="X4" s="412" t="s">
        <v>180</v>
      </c>
      <c r="Y4" s="413" t="s">
        <v>181</v>
      </c>
      <c r="Z4" s="412" t="s">
        <v>180</v>
      </c>
      <c r="AA4" s="413" t="s">
        <v>181</v>
      </c>
      <c r="AB4" s="412" t="s">
        <v>180</v>
      </c>
      <c r="AC4" s="413" t="s">
        <v>181</v>
      </c>
      <c r="AD4" s="412" t="s">
        <v>180</v>
      </c>
      <c r="AE4" s="414" t="s">
        <v>181</v>
      </c>
      <c r="AF4" s="412" t="s">
        <v>180</v>
      </c>
      <c r="AG4" s="413" t="s">
        <v>181</v>
      </c>
      <c r="AH4" s="412" t="s">
        <v>180</v>
      </c>
      <c r="AI4" s="413" t="s">
        <v>181</v>
      </c>
      <c r="AJ4" s="412" t="s">
        <v>180</v>
      </c>
      <c r="AK4" s="413" t="s">
        <v>181</v>
      </c>
      <c r="AL4" s="412" t="s">
        <v>180</v>
      </c>
      <c r="AM4" s="413" t="s">
        <v>181</v>
      </c>
      <c r="AN4" s="412" t="s">
        <v>180</v>
      </c>
      <c r="AO4" s="413" t="s">
        <v>181</v>
      </c>
      <c r="AP4" s="412" t="s">
        <v>180</v>
      </c>
      <c r="AQ4" s="413" t="s">
        <v>181</v>
      </c>
      <c r="AR4" s="412" t="s">
        <v>180</v>
      </c>
      <c r="AS4" s="413" t="s">
        <v>181</v>
      </c>
      <c r="AT4" s="412" t="s">
        <v>180</v>
      </c>
      <c r="AU4" s="413" t="s">
        <v>181</v>
      </c>
      <c r="AV4" s="412" t="s">
        <v>180</v>
      </c>
      <c r="AW4" s="413" t="s">
        <v>181</v>
      </c>
      <c r="AX4" s="412" t="s">
        <v>180</v>
      </c>
      <c r="AY4" s="413" t="s">
        <v>181</v>
      </c>
      <c r="AZ4" s="412" t="s">
        <v>180</v>
      </c>
      <c r="BA4" s="413" t="s">
        <v>181</v>
      </c>
    </row>
    <row r="5" spans="1:53" s="99" customFormat="1" ht="15" customHeight="1" x14ac:dyDescent="0.25">
      <c r="A5" s="106" t="s">
        <v>5</v>
      </c>
      <c r="B5" s="325">
        <v>12.5</v>
      </c>
      <c r="C5" s="326">
        <v>33.880000000000003</v>
      </c>
      <c r="D5" s="325"/>
      <c r="E5" s="327"/>
      <c r="F5" s="325">
        <v>0.74</v>
      </c>
      <c r="G5" s="326">
        <v>0.86</v>
      </c>
      <c r="H5" s="325">
        <v>0</v>
      </c>
      <c r="I5" s="326">
        <v>1</v>
      </c>
      <c r="J5" s="324"/>
      <c r="K5" s="326"/>
      <c r="L5" s="328"/>
      <c r="M5" s="326"/>
      <c r="N5" s="325"/>
      <c r="O5" s="327"/>
      <c r="P5" s="325">
        <v>0.05</v>
      </c>
      <c r="Q5" s="326">
        <v>0.04</v>
      </c>
      <c r="R5" s="325"/>
      <c r="S5" s="326"/>
      <c r="T5" s="325">
        <v>0.04</v>
      </c>
      <c r="U5" s="327">
        <v>0.2</v>
      </c>
      <c r="V5" s="325">
        <v>11.24</v>
      </c>
      <c r="W5" s="326">
        <v>11.92</v>
      </c>
      <c r="X5" s="325">
        <v>1</v>
      </c>
      <c r="Y5" s="326">
        <v>2</v>
      </c>
      <c r="Z5" s="325"/>
      <c r="AA5" s="326"/>
      <c r="AB5" s="370">
        <v>0</v>
      </c>
      <c r="AC5" s="371">
        <v>0</v>
      </c>
      <c r="AD5" s="325">
        <v>0.01</v>
      </c>
      <c r="AE5" s="327">
        <v>4.09</v>
      </c>
      <c r="AF5" s="325">
        <v>2.5499999999999998</v>
      </c>
      <c r="AG5" s="326">
        <v>3.77</v>
      </c>
      <c r="AH5" s="325">
        <v>0.01</v>
      </c>
      <c r="AI5" s="326">
        <v>0.47</v>
      </c>
      <c r="AJ5" s="325"/>
      <c r="AK5" s="326">
        <v>0.02</v>
      </c>
      <c r="AL5" s="325"/>
      <c r="AM5" s="326"/>
      <c r="AN5" s="91">
        <v>26</v>
      </c>
      <c r="AO5" s="92">
        <v>123</v>
      </c>
      <c r="AP5" s="325"/>
      <c r="AQ5" s="326"/>
      <c r="AR5" s="325"/>
      <c r="AS5" s="326">
        <v>0.02</v>
      </c>
      <c r="AT5" s="325">
        <v>0.16</v>
      </c>
      <c r="AU5" s="326">
        <v>1.47</v>
      </c>
      <c r="AV5" s="321">
        <f t="shared" ref="AV5:AV14" si="0">SUM(B5+D5+F5+H5+J5+L5+N5+P5+R5+T5+V5+X5+Z5+P5+AD5+AF5+AH5+AJ5+AL5+AN5+AP5+AR5+AT5)</f>
        <v>54.35</v>
      </c>
      <c r="AW5" s="622">
        <f t="shared" ref="AW5:AW14" si="1">SUM(C5+E5+G5+I5+K5+M5+O5+Q5+S5+U5+W5+Y5+AA5+Q5+AE5+AG5+AI5+AK5+AM5+AO5+AQ5+AS5+AU5)</f>
        <v>182.78000000000003</v>
      </c>
      <c r="AX5" s="325">
        <v>369.06</v>
      </c>
      <c r="AY5" s="326">
        <v>816.42</v>
      </c>
      <c r="AZ5" s="322">
        <f t="shared" ref="AZ5:AZ14" si="2">AV5+AX5</f>
        <v>423.41</v>
      </c>
      <c r="BA5" s="323">
        <f t="shared" ref="BA5:BA14" si="3">AW5+AY5</f>
        <v>999.2</v>
      </c>
    </row>
    <row r="6" spans="1:53" s="99" customFormat="1" x14ac:dyDescent="0.25">
      <c r="A6" s="106" t="s">
        <v>6</v>
      </c>
      <c r="B6" s="38">
        <v>2.71</v>
      </c>
      <c r="C6" s="98">
        <v>3.3</v>
      </c>
      <c r="D6" s="7">
        <v>0.03</v>
      </c>
      <c r="E6" s="100">
        <v>0.08</v>
      </c>
      <c r="F6" s="7"/>
      <c r="G6" s="8"/>
      <c r="H6" s="7">
        <v>125</v>
      </c>
      <c r="I6" s="8">
        <v>130</v>
      </c>
      <c r="J6" s="6"/>
      <c r="K6" s="8"/>
      <c r="L6" s="32">
        <v>18.04</v>
      </c>
      <c r="M6" s="8">
        <v>76.83</v>
      </c>
      <c r="N6" s="7">
        <v>0.18</v>
      </c>
      <c r="O6" s="100">
        <v>1.17</v>
      </c>
      <c r="P6" s="7"/>
      <c r="Q6" s="8"/>
      <c r="R6" s="7">
        <v>0.02</v>
      </c>
      <c r="S6" s="8">
        <v>0.02</v>
      </c>
      <c r="T6" s="7">
        <v>0</v>
      </c>
      <c r="U6" s="100">
        <v>0.37</v>
      </c>
      <c r="V6" s="7">
        <v>140.30000000000001</v>
      </c>
      <c r="W6" s="8">
        <v>279.27</v>
      </c>
      <c r="X6" s="7">
        <v>27</v>
      </c>
      <c r="Y6" s="8">
        <v>65</v>
      </c>
      <c r="Z6" s="93">
        <v>25.8</v>
      </c>
      <c r="AA6" s="625">
        <v>77.19</v>
      </c>
      <c r="AB6" s="368">
        <v>35.479999999999997</v>
      </c>
      <c r="AC6" s="369">
        <v>105.68</v>
      </c>
      <c r="AD6" s="7">
        <v>5.41</v>
      </c>
      <c r="AE6" s="100">
        <v>11.72</v>
      </c>
      <c r="AF6" s="7">
        <v>95.71</v>
      </c>
      <c r="AG6" s="8">
        <v>298.8</v>
      </c>
      <c r="AH6" s="7">
        <v>34.1</v>
      </c>
      <c r="AI6" s="8">
        <v>117.63</v>
      </c>
      <c r="AJ6" s="7"/>
      <c r="AK6" s="8"/>
      <c r="AL6" s="7"/>
      <c r="AM6" s="8"/>
      <c r="AN6" s="91">
        <v>473</v>
      </c>
      <c r="AO6" s="92">
        <v>1173</v>
      </c>
      <c r="AP6" s="101"/>
      <c r="AQ6" s="102"/>
      <c r="AR6" s="103">
        <v>23.59</v>
      </c>
      <c r="AS6" s="104">
        <v>52.6</v>
      </c>
      <c r="AT6" s="7"/>
      <c r="AU6" s="8">
        <v>0.01</v>
      </c>
      <c r="AV6" s="321">
        <f t="shared" si="0"/>
        <v>970.8900000000001</v>
      </c>
      <c r="AW6" s="622">
        <f t="shared" si="1"/>
        <v>2286.9900000000002</v>
      </c>
      <c r="AX6" s="103">
        <v>2.1</v>
      </c>
      <c r="AY6" s="104">
        <v>3.17</v>
      </c>
      <c r="AZ6" s="38">
        <f t="shared" si="2"/>
        <v>972.99000000000012</v>
      </c>
      <c r="BA6" s="98">
        <f t="shared" si="3"/>
        <v>2290.1600000000003</v>
      </c>
    </row>
    <row r="7" spans="1:53" s="99" customFormat="1" x14ac:dyDescent="0.25">
      <c r="A7" s="106" t="s">
        <v>7</v>
      </c>
      <c r="B7" s="38">
        <v>10.3</v>
      </c>
      <c r="C7" s="98">
        <v>25.74</v>
      </c>
      <c r="D7" s="7"/>
      <c r="E7" s="100"/>
      <c r="F7" s="7"/>
      <c r="G7" s="8"/>
      <c r="H7" s="7">
        <v>67</v>
      </c>
      <c r="I7" s="8">
        <v>277</v>
      </c>
      <c r="J7" s="6"/>
      <c r="K7" s="8"/>
      <c r="L7" s="32"/>
      <c r="M7" s="8"/>
      <c r="N7" s="7">
        <v>161.13</v>
      </c>
      <c r="O7" s="100">
        <v>292</v>
      </c>
      <c r="P7" s="7"/>
      <c r="Q7" s="8"/>
      <c r="R7" s="7"/>
      <c r="S7" s="8"/>
      <c r="T7" s="7">
        <v>0.37</v>
      </c>
      <c r="U7" s="100">
        <v>0</v>
      </c>
      <c r="V7" s="7">
        <v>221.63</v>
      </c>
      <c r="W7" s="8">
        <v>498.91</v>
      </c>
      <c r="X7" s="7">
        <v>0</v>
      </c>
      <c r="Y7" s="8">
        <v>0</v>
      </c>
      <c r="Z7" s="93"/>
      <c r="AA7" s="625"/>
      <c r="AB7" s="368">
        <v>0</v>
      </c>
      <c r="AC7" s="369">
        <v>0</v>
      </c>
      <c r="AD7" s="7">
        <v>11.42</v>
      </c>
      <c r="AE7" s="100">
        <v>19.63</v>
      </c>
      <c r="AF7" s="7"/>
      <c r="AG7" s="8"/>
      <c r="AH7" s="7"/>
      <c r="AI7" s="8"/>
      <c r="AJ7" s="7"/>
      <c r="AK7" s="8"/>
      <c r="AL7" s="7"/>
      <c r="AM7" s="8"/>
      <c r="AN7" s="91">
        <v>12</v>
      </c>
      <c r="AO7" s="92">
        <v>16</v>
      </c>
      <c r="AP7" s="101">
        <v>72.05</v>
      </c>
      <c r="AQ7" s="102">
        <v>202.14</v>
      </c>
      <c r="AR7" s="103"/>
      <c r="AS7" s="104"/>
      <c r="AT7" s="7"/>
      <c r="AU7" s="8">
        <v>0.15</v>
      </c>
      <c r="AV7" s="321">
        <f t="shared" si="0"/>
        <v>555.9</v>
      </c>
      <c r="AW7" s="622">
        <f t="shared" si="1"/>
        <v>1331.5700000000002</v>
      </c>
      <c r="AX7" s="103">
        <v>2.21</v>
      </c>
      <c r="AY7" s="104">
        <v>6.16</v>
      </c>
      <c r="AZ7" s="38">
        <f t="shared" si="2"/>
        <v>558.11</v>
      </c>
      <c r="BA7" s="98">
        <f t="shared" si="3"/>
        <v>1337.7300000000002</v>
      </c>
    </row>
    <row r="8" spans="1:53" s="99" customFormat="1" x14ac:dyDescent="0.25">
      <c r="A8" s="106" t="s">
        <v>8</v>
      </c>
      <c r="B8" s="38">
        <v>29.51</v>
      </c>
      <c r="C8" s="98">
        <v>96.51</v>
      </c>
      <c r="D8" s="7">
        <v>1.05</v>
      </c>
      <c r="E8" s="100">
        <v>1.72</v>
      </c>
      <c r="F8" s="7">
        <v>5.55</v>
      </c>
      <c r="G8" s="8">
        <v>23.54</v>
      </c>
      <c r="H8" s="7">
        <v>27</v>
      </c>
      <c r="I8" s="8">
        <v>75</v>
      </c>
      <c r="J8" s="6"/>
      <c r="K8" s="8"/>
      <c r="L8" s="32">
        <v>0.67</v>
      </c>
      <c r="M8" s="8">
        <v>0.67</v>
      </c>
      <c r="N8" s="7">
        <v>91.74</v>
      </c>
      <c r="O8" s="100">
        <v>236.92</v>
      </c>
      <c r="P8" s="7">
        <v>1.89</v>
      </c>
      <c r="Q8" s="8">
        <v>7.08</v>
      </c>
      <c r="R8" s="7">
        <v>11.6</v>
      </c>
      <c r="S8" s="8">
        <v>43.89</v>
      </c>
      <c r="T8" s="7">
        <v>14.1</v>
      </c>
      <c r="U8" s="100">
        <v>38.909999999999997</v>
      </c>
      <c r="V8" s="7">
        <v>21.93</v>
      </c>
      <c r="W8" s="8">
        <v>70.78</v>
      </c>
      <c r="X8" s="7">
        <v>24</v>
      </c>
      <c r="Y8" s="8">
        <v>74</v>
      </c>
      <c r="Z8" s="93"/>
      <c r="AA8" s="625">
        <v>0.01</v>
      </c>
      <c r="AB8" s="368">
        <v>3.24</v>
      </c>
      <c r="AC8" s="369">
        <v>4.1399999999999997</v>
      </c>
      <c r="AD8" s="7">
        <v>37.840000000000003</v>
      </c>
      <c r="AE8" s="100">
        <v>120.15</v>
      </c>
      <c r="AF8" s="7">
        <v>8.25</v>
      </c>
      <c r="AG8" s="8">
        <v>17.98</v>
      </c>
      <c r="AH8" s="7">
        <v>20.5</v>
      </c>
      <c r="AI8" s="8">
        <v>31.41</v>
      </c>
      <c r="AJ8" s="7">
        <v>0.04</v>
      </c>
      <c r="AK8" s="8">
        <v>0.26</v>
      </c>
      <c r="AL8" s="7"/>
      <c r="AM8" s="8"/>
      <c r="AN8" s="91">
        <v>19</v>
      </c>
      <c r="AO8" s="92">
        <v>63</v>
      </c>
      <c r="AP8" s="101">
        <v>1.77</v>
      </c>
      <c r="AQ8" s="102">
        <v>8.1999999999999993</v>
      </c>
      <c r="AR8" s="103">
        <v>0.04</v>
      </c>
      <c r="AS8" s="104">
        <v>2.73</v>
      </c>
      <c r="AT8" s="7">
        <v>0.6</v>
      </c>
      <c r="AU8" s="8">
        <v>21.51</v>
      </c>
      <c r="AV8" s="321">
        <f t="shared" si="0"/>
        <v>318.97000000000003</v>
      </c>
      <c r="AW8" s="622">
        <f t="shared" si="1"/>
        <v>941.35</v>
      </c>
      <c r="AX8" s="103">
        <v>18.23</v>
      </c>
      <c r="AY8" s="104">
        <v>31.52</v>
      </c>
      <c r="AZ8" s="38">
        <f t="shared" si="2"/>
        <v>337.20000000000005</v>
      </c>
      <c r="BA8" s="98">
        <f t="shared" si="3"/>
        <v>972.87</v>
      </c>
    </row>
    <row r="9" spans="1:53" s="99" customFormat="1" x14ac:dyDescent="0.25">
      <c r="A9" s="106" t="s">
        <v>9</v>
      </c>
      <c r="B9" s="38"/>
      <c r="C9" s="98"/>
      <c r="D9" s="7"/>
      <c r="E9" s="100"/>
      <c r="F9" s="7"/>
      <c r="G9" s="8"/>
      <c r="H9" s="7">
        <v>5</v>
      </c>
      <c r="I9" s="8">
        <v>9</v>
      </c>
      <c r="J9" s="6"/>
      <c r="K9" s="8"/>
      <c r="L9" s="32"/>
      <c r="M9" s="8"/>
      <c r="N9" s="7"/>
      <c r="O9" s="100"/>
      <c r="P9" s="7"/>
      <c r="Q9" s="8"/>
      <c r="R9" s="7"/>
      <c r="S9" s="8"/>
      <c r="T9" s="7"/>
      <c r="U9" s="100"/>
      <c r="V9" s="7">
        <v>4.33</v>
      </c>
      <c r="W9" s="8">
        <v>10.45</v>
      </c>
      <c r="X9" s="7"/>
      <c r="Y9" s="8"/>
      <c r="Z9" s="93"/>
      <c r="AA9" s="625"/>
      <c r="AB9" s="368">
        <v>0</v>
      </c>
      <c r="AC9" s="369">
        <v>0</v>
      </c>
      <c r="AD9" s="7">
        <v>9.42</v>
      </c>
      <c r="AE9" s="100">
        <v>14.99</v>
      </c>
      <c r="AF9" s="7"/>
      <c r="AG9" s="8"/>
      <c r="AH9" s="7"/>
      <c r="AI9" s="8"/>
      <c r="AJ9" s="7"/>
      <c r="AK9" s="8"/>
      <c r="AL9" s="7"/>
      <c r="AM9" s="8"/>
      <c r="AN9" s="94"/>
      <c r="AO9" s="95"/>
      <c r="AP9" s="101"/>
      <c r="AQ9" s="102"/>
      <c r="AR9" s="103"/>
      <c r="AS9" s="104"/>
      <c r="AT9" s="7"/>
      <c r="AU9" s="8"/>
      <c r="AV9" s="321">
        <f t="shared" si="0"/>
        <v>18.75</v>
      </c>
      <c r="AW9" s="622">
        <f t="shared" si="1"/>
        <v>34.44</v>
      </c>
      <c r="AX9" s="103"/>
      <c r="AY9" s="104"/>
      <c r="AZ9" s="38">
        <f t="shared" si="2"/>
        <v>18.75</v>
      </c>
      <c r="BA9" s="98">
        <f t="shared" si="3"/>
        <v>34.44</v>
      </c>
    </row>
    <row r="10" spans="1:53" s="99" customFormat="1" x14ac:dyDescent="0.25">
      <c r="A10" s="106" t="s">
        <v>10</v>
      </c>
      <c r="B10" s="38">
        <v>417.61</v>
      </c>
      <c r="C10" s="98">
        <v>1351.15</v>
      </c>
      <c r="D10" s="7">
        <v>10.050000000000001</v>
      </c>
      <c r="E10" s="100">
        <v>11.41</v>
      </c>
      <c r="F10" s="7">
        <v>33.25</v>
      </c>
      <c r="G10" s="8">
        <v>103.66</v>
      </c>
      <c r="H10" s="7">
        <v>668</v>
      </c>
      <c r="I10" s="8">
        <v>2332</v>
      </c>
      <c r="J10" s="6">
        <v>89.65</v>
      </c>
      <c r="K10" s="8">
        <v>262.79000000000002</v>
      </c>
      <c r="L10" s="32">
        <v>30.62</v>
      </c>
      <c r="M10" s="8">
        <v>319.60000000000002</v>
      </c>
      <c r="N10" s="7">
        <v>66.989999999999995</v>
      </c>
      <c r="O10" s="100">
        <v>557.64</v>
      </c>
      <c r="P10" s="7">
        <v>27.76</v>
      </c>
      <c r="Q10" s="8">
        <v>68.25</v>
      </c>
      <c r="R10" s="7">
        <v>11.47</v>
      </c>
      <c r="S10" s="8">
        <v>68.459999999999994</v>
      </c>
      <c r="T10" s="7">
        <v>81.52</v>
      </c>
      <c r="U10" s="100">
        <v>256.95</v>
      </c>
      <c r="V10" s="7">
        <v>1431.33</v>
      </c>
      <c r="W10" s="8">
        <v>4534.7</v>
      </c>
      <c r="X10" s="7">
        <v>125</v>
      </c>
      <c r="Y10" s="8">
        <v>669</v>
      </c>
      <c r="Z10" s="93">
        <v>7.46</v>
      </c>
      <c r="AA10" s="625">
        <v>23.94</v>
      </c>
      <c r="AB10" s="368">
        <v>333.33</v>
      </c>
      <c r="AC10" s="369">
        <v>780.05</v>
      </c>
      <c r="AD10" s="105">
        <v>406.97</v>
      </c>
      <c r="AE10" s="624">
        <v>1261.8</v>
      </c>
      <c r="AF10" s="7">
        <v>17.190000000000001</v>
      </c>
      <c r="AG10" s="8">
        <v>44.09</v>
      </c>
      <c r="AH10" s="7">
        <v>11.17</v>
      </c>
      <c r="AI10" s="8">
        <v>23.16</v>
      </c>
      <c r="AJ10" s="7">
        <v>46.46</v>
      </c>
      <c r="AK10" s="8">
        <v>171.15</v>
      </c>
      <c r="AL10" s="7"/>
      <c r="AM10" s="8"/>
      <c r="AN10" s="91">
        <v>619</v>
      </c>
      <c r="AO10" s="92">
        <v>1185</v>
      </c>
      <c r="AP10" s="101">
        <v>34.68</v>
      </c>
      <c r="AQ10" s="102">
        <v>134.72</v>
      </c>
      <c r="AR10" s="103">
        <v>0.66</v>
      </c>
      <c r="AS10" s="104">
        <v>2.6</v>
      </c>
      <c r="AT10" s="7">
        <v>21.72</v>
      </c>
      <c r="AU10" s="8">
        <v>62.51</v>
      </c>
      <c r="AV10" s="321">
        <f t="shared" si="0"/>
        <v>4186.3200000000006</v>
      </c>
      <c r="AW10" s="622">
        <f t="shared" si="1"/>
        <v>13512.83</v>
      </c>
      <c r="AX10" s="7">
        <v>19404.259999999998</v>
      </c>
      <c r="AY10" s="8">
        <v>81931.89</v>
      </c>
      <c r="AZ10" s="38">
        <f t="shared" si="2"/>
        <v>23590.579999999998</v>
      </c>
      <c r="BA10" s="98">
        <f t="shared" si="3"/>
        <v>95444.72</v>
      </c>
    </row>
    <row r="11" spans="1:53" s="99" customFormat="1" x14ac:dyDescent="0.25">
      <c r="A11" s="106" t="s">
        <v>11</v>
      </c>
      <c r="B11" s="38"/>
      <c r="C11" s="98"/>
      <c r="D11" s="7"/>
      <c r="E11" s="100"/>
      <c r="F11" s="7"/>
      <c r="G11" s="8"/>
      <c r="H11" s="7">
        <v>8</v>
      </c>
      <c r="I11" s="8">
        <v>11</v>
      </c>
      <c r="J11" s="6"/>
      <c r="K11" s="8"/>
      <c r="L11" s="32"/>
      <c r="M11" s="8"/>
      <c r="N11" s="7"/>
      <c r="O11" s="100"/>
      <c r="P11" s="7"/>
      <c r="Q11" s="8"/>
      <c r="R11" s="7"/>
      <c r="S11" s="8"/>
      <c r="T11" s="7"/>
      <c r="U11" s="100"/>
      <c r="V11" s="7"/>
      <c r="W11" s="8"/>
      <c r="X11" s="7"/>
      <c r="Y11" s="8"/>
      <c r="Z11" s="93"/>
      <c r="AA11" s="625"/>
      <c r="AB11" s="368"/>
      <c r="AC11" s="369"/>
      <c r="AD11" s="105"/>
      <c r="AE11" s="624"/>
      <c r="AF11" s="7"/>
      <c r="AG11" s="8"/>
      <c r="AH11" s="7"/>
      <c r="AI11" s="8"/>
      <c r="AJ11" s="7"/>
      <c r="AK11" s="8"/>
      <c r="AL11" s="7"/>
      <c r="AM11" s="8"/>
      <c r="AN11" s="91"/>
      <c r="AO11" s="92"/>
      <c r="AP11" s="101"/>
      <c r="AQ11" s="102"/>
      <c r="AR11" s="103"/>
      <c r="AS11" s="104"/>
      <c r="AT11" s="7"/>
      <c r="AU11" s="8"/>
      <c r="AV11" s="321">
        <f t="shared" si="0"/>
        <v>8</v>
      </c>
      <c r="AW11" s="622">
        <f t="shared" si="1"/>
        <v>11</v>
      </c>
      <c r="AX11" s="7"/>
      <c r="AY11" s="8"/>
      <c r="AZ11" s="38">
        <f t="shared" si="2"/>
        <v>8</v>
      </c>
      <c r="BA11" s="98">
        <f t="shared" si="3"/>
        <v>11</v>
      </c>
    </row>
    <row r="12" spans="1:53" s="426" customFormat="1" x14ac:dyDescent="0.25">
      <c r="A12" s="409" t="s">
        <v>12</v>
      </c>
      <c r="B12" s="418">
        <f t="shared" ref="B12:Q12" si="4">SUM(B5:B11)</f>
        <v>472.63</v>
      </c>
      <c r="C12" s="419">
        <f t="shared" si="4"/>
        <v>1510.5800000000002</v>
      </c>
      <c r="D12" s="418">
        <f t="shared" si="4"/>
        <v>11.13</v>
      </c>
      <c r="E12" s="420">
        <f t="shared" si="4"/>
        <v>13.21</v>
      </c>
      <c r="F12" s="418">
        <f t="shared" si="4"/>
        <v>39.54</v>
      </c>
      <c r="G12" s="419">
        <f t="shared" si="4"/>
        <v>128.06</v>
      </c>
      <c r="H12" s="418">
        <f t="shared" si="4"/>
        <v>900</v>
      </c>
      <c r="I12" s="419">
        <f t="shared" si="4"/>
        <v>2835</v>
      </c>
      <c r="J12" s="417">
        <f t="shared" si="4"/>
        <v>89.65</v>
      </c>
      <c r="K12" s="419">
        <f t="shared" si="4"/>
        <v>262.79000000000002</v>
      </c>
      <c r="L12" s="418">
        <f t="shared" si="4"/>
        <v>49.33</v>
      </c>
      <c r="M12" s="419">
        <f t="shared" si="4"/>
        <v>397.1</v>
      </c>
      <c r="N12" s="421">
        <f t="shared" si="4"/>
        <v>320.04000000000002</v>
      </c>
      <c r="O12" s="422">
        <f t="shared" si="4"/>
        <v>1087.73</v>
      </c>
      <c r="P12" s="418">
        <f t="shared" si="4"/>
        <v>29.700000000000003</v>
      </c>
      <c r="Q12" s="419">
        <f t="shared" si="4"/>
        <v>75.37</v>
      </c>
      <c r="R12" s="421">
        <f t="shared" ref="R12:AG12" si="5">SUM(R5:R11)</f>
        <v>23.09</v>
      </c>
      <c r="S12" s="423">
        <f t="shared" si="5"/>
        <v>112.37</v>
      </c>
      <c r="T12" s="418">
        <f t="shared" si="5"/>
        <v>96.03</v>
      </c>
      <c r="U12" s="420">
        <f t="shared" si="5"/>
        <v>296.43</v>
      </c>
      <c r="V12" s="418">
        <f t="shared" si="5"/>
        <v>1830.76</v>
      </c>
      <c r="W12" s="419">
        <f t="shared" si="5"/>
        <v>5406.03</v>
      </c>
      <c r="X12" s="418">
        <f t="shared" si="5"/>
        <v>177</v>
      </c>
      <c r="Y12" s="419">
        <f t="shared" si="5"/>
        <v>810</v>
      </c>
      <c r="Z12" s="418">
        <f t="shared" si="5"/>
        <v>33.26</v>
      </c>
      <c r="AA12" s="419">
        <f t="shared" si="5"/>
        <v>101.14</v>
      </c>
      <c r="AB12" s="421">
        <f t="shared" si="5"/>
        <v>372.04999999999995</v>
      </c>
      <c r="AC12" s="423">
        <f t="shared" si="5"/>
        <v>889.87</v>
      </c>
      <c r="AD12" s="418">
        <f t="shared" si="5"/>
        <v>471.07000000000005</v>
      </c>
      <c r="AE12" s="420">
        <f t="shared" si="5"/>
        <v>1432.3799999999999</v>
      </c>
      <c r="AF12" s="418">
        <f t="shared" si="5"/>
        <v>123.69999999999999</v>
      </c>
      <c r="AG12" s="419">
        <f t="shared" si="5"/>
        <v>364.64</v>
      </c>
      <c r="AH12" s="418">
        <f t="shared" ref="AH12:AU12" si="6">SUM(AH5:AH11)</f>
        <v>65.78</v>
      </c>
      <c r="AI12" s="419">
        <f t="shared" si="6"/>
        <v>172.67</v>
      </c>
      <c r="AJ12" s="418">
        <f t="shared" si="6"/>
        <v>46.5</v>
      </c>
      <c r="AK12" s="419">
        <f t="shared" si="6"/>
        <v>171.43</v>
      </c>
      <c r="AL12" s="418">
        <f t="shared" si="6"/>
        <v>0</v>
      </c>
      <c r="AM12" s="419">
        <f t="shared" si="6"/>
        <v>0</v>
      </c>
      <c r="AN12" s="418">
        <f t="shared" si="6"/>
        <v>1149</v>
      </c>
      <c r="AO12" s="419">
        <f t="shared" si="6"/>
        <v>2560</v>
      </c>
      <c r="AP12" s="418">
        <f t="shared" si="6"/>
        <v>108.5</v>
      </c>
      <c r="AQ12" s="419">
        <f t="shared" si="6"/>
        <v>345.05999999999995</v>
      </c>
      <c r="AR12" s="418">
        <f t="shared" si="6"/>
        <v>24.29</v>
      </c>
      <c r="AS12" s="419">
        <f t="shared" si="6"/>
        <v>57.95</v>
      </c>
      <c r="AT12" s="418">
        <f t="shared" si="6"/>
        <v>22.48</v>
      </c>
      <c r="AU12" s="418">
        <f t="shared" si="6"/>
        <v>85.65</v>
      </c>
      <c r="AV12" s="424">
        <f t="shared" si="0"/>
        <v>6113.1799999999985</v>
      </c>
      <c r="AW12" s="623">
        <f t="shared" si="1"/>
        <v>18300.960000000006</v>
      </c>
      <c r="AX12" s="425">
        <f>SUM(AX5:AX11)</f>
        <v>19795.859999999997</v>
      </c>
      <c r="AY12" s="425">
        <f>SUM(AY5:AY11)</f>
        <v>82789.16</v>
      </c>
      <c r="AZ12" s="421">
        <f t="shared" si="2"/>
        <v>25909.039999999994</v>
      </c>
      <c r="BA12" s="423">
        <f t="shared" si="3"/>
        <v>101090.12000000001</v>
      </c>
    </row>
    <row r="13" spans="1:53" s="99" customFormat="1" ht="14.25" thickBot="1" x14ac:dyDescent="0.3">
      <c r="A13" s="106" t="s">
        <v>13</v>
      </c>
      <c r="B13" s="824"/>
      <c r="C13" s="825"/>
      <c r="D13" s="826"/>
      <c r="E13" s="827"/>
      <c r="F13" s="826"/>
      <c r="G13" s="828"/>
      <c r="H13" s="826"/>
      <c r="I13" s="828"/>
      <c r="J13" s="829"/>
      <c r="K13" s="828"/>
      <c r="L13" s="830"/>
      <c r="M13" s="828"/>
      <c r="N13" s="826"/>
      <c r="O13" s="827"/>
      <c r="P13" s="826"/>
      <c r="Q13" s="828"/>
      <c r="R13" s="831"/>
      <c r="S13" s="832"/>
      <c r="T13" s="831"/>
      <c r="U13" s="833"/>
      <c r="V13" s="831"/>
      <c r="W13" s="832"/>
      <c r="X13" s="831"/>
      <c r="Y13" s="832"/>
      <c r="Z13" s="831"/>
      <c r="AA13" s="832"/>
      <c r="AB13" s="834"/>
      <c r="AC13" s="835"/>
      <c r="AD13" s="826"/>
      <c r="AE13" s="827"/>
      <c r="AF13" s="826"/>
      <c r="AG13" s="828"/>
      <c r="AH13" s="826"/>
      <c r="AI13" s="828">
        <v>-3.0000000000000001E-3</v>
      </c>
      <c r="AJ13" s="826"/>
      <c r="AK13" s="828"/>
      <c r="AL13" s="826"/>
      <c r="AM13" s="828"/>
      <c r="AN13" s="94"/>
      <c r="AO13" s="95"/>
      <c r="AP13" s="836"/>
      <c r="AQ13" s="837"/>
      <c r="AR13" s="838"/>
      <c r="AS13" s="839"/>
      <c r="AT13" s="826"/>
      <c r="AU13" s="828"/>
      <c r="AV13" s="361">
        <f t="shared" si="0"/>
        <v>0</v>
      </c>
      <c r="AW13" s="840">
        <f t="shared" si="1"/>
        <v>-3.0000000000000001E-3</v>
      </c>
      <c r="AX13" s="838"/>
      <c r="AY13" s="839"/>
      <c r="AZ13" s="841">
        <f t="shared" si="2"/>
        <v>0</v>
      </c>
      <c r="BA13" s="842">
        <f t="shared" si="3"/>
        <v>-3.0000000000000001E-3</v>
      </c>
    </row>
    <row r="14" spans="1:53" s="426" customFormat="1" ht="14.25" thickBot="1" x14ac:dyDescent="0.3">
      <c r="A14" s="760" t="s">
        <v>14</v>
      </c>
      <c r="B14" s="442">
        <f t="shared" ref="B14:AG14" si="7">B12+B13</f>
        <v>472.63</v>
      </c>
      <c r="C14" s="445">
        <f t="shared" si="7"/>
        <v>1510.5800000000002</v>
      </c>
      <c r="D14" s="442">
        <f t="shared" si="7"/>
        <v>11.13</v>
      </c>
      <c r="E14" s="443">
        <f t="shared" si="7"/>
        <v>13.21</v>
      </c>
      <c r="F14" s="442">
        <f t="shared" si="7"/>
        <v>39.54</v>
      </c>
      <c r="G14" s="445">
        <f t="shared" si="7"/>
        <v>128.06</v>
      </c>
      <c r="H14" s="442">
        <f t="shared" si="7"/>
        <v>900</v>
      </c>
      <c r="I14" s="445">
        <f t="shared" si="7"/>
        <v>2835</v>
      </c>
      <c r="J14" s="444">
        <f t="shared" si="7"/>
        <v>89.65</v>
      </c>
      <c r="K14" s="445">
        <f t="shared" si="7"/>
        <v>262.79000000000002</v>
      </c>
      <c r="L14" s="442">
        <f t="shared" si="7"/>
        <v>49.33</v>
      </c>
      <c r="M14" s="445">
        <f t="shared" si="7"/>
        <v>397.1</v>
      </c>
      <c r="N14" s="843">
        <f t="shared" si="7"/>
        <v>320.04000000000002</v>
      </c>
      <c r="O14" s="844">
        <f t="shared" si="7"/>
        <v>1087.73</v>
      </c>
      <c r="P14" s="442">
        <f>P12+P13</f>
        <v>29.700000000000003</v>
      </c>
      <c r="Q14" s="445">
        <f>Q12+Q13</f>
        <v>75.37</v>
      </c>
      <c r="R14" s="843">
        <f t="shared" si="7"/>
        <v>23.09</v>
      </c>
      <c r="S14" s="845">
        <f t="shared" si="7"/>
        <v>112.37</v>
      </c>
      <c r="T14" s="442">
        <f t="shared" si="7"/>
        <v>96.03</v>
      </c>
      <c r="U14" s="443">
        <f t="shared" si="7"/>
        <v>296.43</v>
      </c>
      <c r="V14" s="442">
        <f t="shared" si="7"/>
        <v>1830.76</v>
      </c>
      <c r="W14" s="445">
        <f t="shared" si="7"/>
        <v>5406.03</v>
      </c>
      <c r="X14" s="442">
        <f t="shared" si="7"/>
        <v>177</v>
      </c>
      <c r="Y14" s="445">
        <f t="shared" si="7"/>
        <v>810</v>
      </c>
      <c r="Z14" s="442">
        <f t="shared" si="7"/>
        <v>33.26</v>
      </c>
      <c r="AA14" s="445">
        <f t="shared" si="7"/>
        <v>101.14</v>
      </c>
      <c r="AB14" s="843">
        <f t="shared" si="7"/>
        <v>372.04999999999995</v>
      </c>
      <c r="AC14" s="845">
        <f t="shared" si="7"/>
        <v>889.87</v>
      </c>
      <c r="AD14" s="442">
        <f t="shared" si="7"/>
        <v>471.07000000000005</v>
      </c>
      <c r="AE14" s="443">
        <f t="shared" si="7"/>
        <v>1432.3799999999999</v>
      </c>
      <c r="AF14" s="442">
        <f t="shared" si="7"/>
        <v>123.69999999999999</v>
      </c>
      <c r="AG14" s="445">
        <f t="shared" si="7"/>
        <v>364.64</v>
      </c>
      <c r="AH14" s="442">
        <f t="shared" ref="AH14:AU14" si="8">AH12+AH13</f>
        <v>65.78</v>
      </c>
      <c r="AI14" s="445">
        <f t="shared" si="8"/>
        <v>172.667</v>
      </c>
      <c r="AJ14" s="442">
        <f t="shared" si="8"/>
        <v>46.5</v>
      </c>
      <c r="AK14" s="445">
        <f t="shared" si="8"/>
        <v>171.43</v>
      </c>
      <c r="AL14" s="442">
        <f t="shared" si="8"/>
        <v>0</v>
      </c>
      <c r="AM14" s="445">
        <f t="shared" si="8"/>
        <v>0</v>
      </c>
      <c r="AN14" s="442">
        <f t="shared" si="8"/>
        <v>1149</v>
      </c>
      <c r="AO14" s="445">
        <f t="shared" si="8"/>
        <v>2560</v>
      </c>
      <c r="AP14" s="442">
        <f t="shared" si="8"/>
        <v>108.5</v>
      </c>
      <c r="AQ14" s="445">
        <f t="shared" si="8"/>
        <v>345.05999999999995</v>
      </c>
      <c r="AR14" s="442">
        <f t="shared" si="8"/>
        <v>24.29</v>
      </c>
      <c r="AS14" s="445">
        <f t="shared" si="8"/>
        <v>57.95</v>
      </c>
      <c r="AT14" s="442">
        <f t="shared" si="8"/>
        <v>22.48</v>
      </c>
      <c r="AU14" s="442">
        <f t="shared" si="8"/>
        <v>85.65</v>
      </c>
      <c r="AV14" s="444">
        <f t="shared" si="0"/>
        <v>6113.1799999999985</v>
      </c>
      <c r="AW14" s="846">
        <f t="shared" si="1"/>
        <v>18300.957000000002</v>
      </c>
      <c r="AX14" s="847">
        <f>AX12+AX13</f>
        <v>19795.859999999997</v>
      </c>
      <c r="AY14" s="847">
        <f>AY12+AY13</f>
        <v>82789.16</v>
      </c>
      <c r="AZ14" s="843">
        <f t="shared" si="2"/>
        <v>25909.039999999994</v>
      </c>
      <c r="BA14" s="845">
        <f t="shared" si="3"/>
        <v>101090.117</v>
      </c>
    </row>
  </sheetData>
  <mergeCells count="29">
    <mergeCell ref="A1:AZ1"/>
    <mergeCell ref="A2:AZ2"/>
    <mergeCell ref="A3:A4"/>
    <mergeCell ref="AN3:AO3"/>
    <mergeCell ref="AP3:AQ3"/>
    <mergeCell ref="B3:C3"/>
    <mergeCell ref="D3:E3"/>
    <mergeCell ref="F3:G3"/>
    <mergeCell ref="H3:I3"/>
    <mergeCell ref="J3:K3"/>
    <mergeCell ref="L3:M3"/>
    <mergeCell ref="AD3:AE3"/>
    <mergeCell ref="R3:S3"/>
    <mergeCell ref="T3:U3"/>
    <mergeCell ref="AZ3:BA3"/>
    <mergeCell ref="AX3:AY3"/>
    <mergeCell ref="AV3:AW3"/>
    <mergeCell ref="AT3:AU3"/>
    <mergeCell ref="AR3:AS3"/>
    <mergeCell ref="P3:Q3"/>
    <mergeCell ref="N3:O3"/>
    <mergeCell ref="AF3:AG3"/>
    <mergeCell ref="AH3:AI3"/>
    <mergeCell ref="AJ3:AK3"/>
    <mergeCell ref="AL3:AM3"/>
    <mergeCell ref="V3:W3"/>
    <mergeCell ref="X3:Y3"/>
    <mergeCell ref="Z3:AA3"/>
    <mergeCell ref="AB3:A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L1</vt:lpstr>
      <vt:lpstr>L2</vt:lpstr>
      <vt:lpstr>L3</vt:lpstr>
      <vt:lpstr>L4</vt:lpstr>
      <vt:lpstr>L5</vt:lpstr>
      <vt:lpstr>L6</vt:lpstr>
      <vt:lpstr>L7</vt:lpstr>
      <vt:lpstr>L10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Pande Sandeep</cp:lastModifiedBy>
  <dcterms:created xsi:type="dcterms:W3CDTF">2019-02-21T06:27:16Z</dcterms:created>
  <dcterms:modified xsi:type="dcterms:W3CDTF">2020-10-13T05:21:32Z</dcterms:modified>
</cp:coreProperties>
</file>